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activeTab="1"/>
  </bookViews>
  <sheets>
    <sheet name="Аркуш1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2" l="1"/>
  <c r="L21" i="2"/>
  <c r="L53" i="2"/>
  <c r="M53" i="2" s="1"/>
  <c r="H53" i="2"/>
  <c r="L52" i="2"/>
  <c r="M52" i="2" s="1"/>
  <c r="H52" i="2"/>
  <c r="G51" i="2"/>
  <c r="L50" i="2"/>
  <c r="H50" i="2"/>
  <c r="G49" i="2"/>
  <c r="H49" i="2" s="1"/>
  <c r="H47" i="2"/>
  <c r="H46" i="2"/>
  <c r="H45" i="2"/>
  <c r="L44" i="2"/>
  <c r="H44" i="2"/>
  <c r="L43" i="2"/>
  <c r="H43" i="2"/>
  <c r="L42" i="2"/>
  <c r="H42" i="2"/>
  <c r="L41" i="2"/>
  <c r="H41" i="2"/>
  <c r="H40" i="2"/>
  <c r="J39" i="2"/>
  <c r="L39" i="2" s="1"/>
  <c r="L51" i="2" s="1"/>
  <c r="H39" i="2"/>
  <c r="M37" i="2"/>
  <c r="H37" i="2"/>
  <c r="G33" i="2"/>
  <c r="G34" i="2" s="1"/>
  <c r="G32" i="2"/>
  <c r="G31" i="2"/>
  <c r="G30" i="2"/>
  <c r="G29" i="2"/>
  <c r="M26" i="2"/>
  <c r="H26" i="2"/>
  <c r="M23" i="2"/>
  <c r="H23" i="2"/>
  <c r="G21" i="2"/>
  <c r="M21" i="2" s="1"/>
  <c r="L15" i="2"/>
  <c r="G13" i="2"/>
  <c r="L11" i="2"/>
  <c r="L10" i="2"/>
  <c r="L13" i="2" s="1"/>
  <c r="L54" i="2" s="1"/>
  <c r="M7" i="2"/>
  <c r="H7" i="2"/>
  <c r="M56" i="2" l="1"/>
  <c r="M13" i="2"/>
  <c r="M51" i="2"/>
  <c r="G35" i="2"/>
  <c r="G36" i="2" s="1"/>
  <c r="H21" i="2"/>
  <c r="H13" i="2"/>
  <c r="H36" i="2" l="1"/>
  <c r="M36" i="2"/>
  <c r="G54" i="2"/>
  <c r="M54" i="2" l="1"/>
  <c r="G56" i="2"/>
  <c r="J51" i="2"/>
  <c r="H54" i="2"/>
  <c r="I37" i="2" l="1"/>
  <c r="I50" i="2"/>
  <c r="I23" i="2"/>
  <c r="I42" i="2"/>
  <c r="I41" i="2"/>
  <c r="I7" i="2"/>
  <c r="I44" i="2"/>
  <c r="I45" i="2"/>
  <c r="I49" i="2"/>
  <c r="I40" i="2"/>
  <c r="I26" i="2"/>
  <c r="I43" i="2"/>
  <c r="I46" i="2"/>
  <c r="I47" i="2"/>
  <c r="I53" i="2"/>
  <c r="I52" i="2"/>
  <c r="I39" i="2"/>
  <c r="I21" i="2"/>
  <c r="I13" i="2"/>
  <c r="I36" i="2"/>
  <c r="L11" i="1"/>
  <c r="L52" i="1"/>
  <c r="I54" i="2" l="1"/>
  <c r="L42" i="1"/>
  <c r="L50" i="1"/>
  <c r="L10" i="1"/>
  <c r="M53" i="1"/>
  <c r="M52" i="1"/>
  <c r="L53" i="1"/>
  <c r="M37" i="1"/>
  <c r="L41" i="1" l="1"/>
  <c r="L39" i="1"/>
  <c r="J39" i="1"/>
  <c r="L44" i="1"/>
  <c r="L43" i="1"/>
  <c r="M26" i="1"/>
  <c r="M7" i="1"/>
  <c r="M21" i="1"/>
  <c r="M23" i="1"/>
  <c r="L23" i="1"/>
  <c r="L21" i="1"/>
  <c r="L15" i="1"/>
  <c r="L51" i="1" l="1"/>
  <c r="M51" i="1" s="1"/>
  <c r="M36" i="1"/>
  <c r="G51" i="1" l="1"/>
  <c r="H53" i="1" l="1"/>
  <c r="H52" i="1"/>
  <c r="G33" i="1"/>
  <c r="G49" i="1"/>
  <c r="H49" i="1" l="1"/>
  <c r="H47" i="1"/>
  <c r="L13" i="1" l="1"/>
  <c r="M13" i="1" l="1"/>
  <c r="M56" i="1" s="1"/>
  <c r="L54" i="1"/>
  <c r="M54" i="1" s="1"/>
  <c r="G21" i="1"/>
  <c r="H50" i="1" l="1"/>
  <c r="H46" i="1" l="1"/>
  <c r="H21" i="1" l="1"/>
  <c r="H45" i="1"/>
  <c r="H44" i="1"/>
  <c r="H43" i="1"/>
  <c r="H42" i="1"/>
  <c r="H41" i="1"/>
  <c r="H40" i="1"/>
  <c r="H39" i="1"/>
  <c r="H37" i="1"/>
  <c r="G32" i="1"/>
  <c r="G31" i="1"/>
  <c r="G30" i="1"/>
  <c r="G29" i="1"/>
  <c r="H26" i="1"/>
  <c r="H23" i="1"/>
  <c r="G13" i="1"/>
  <c r="H7" i="1"/>
  <c r="H13" i="1" l="1"/>
  <c r="G34" i="1"/>
  <c r="G35" i="1" s="1"/>
  <c r="G36" i="1" s="1"/>
  <c r="G54" i="1" s="1"/>
  <c r="J51" i="1" s="1"/>
  <c r="H36" i="1" l="1"/>
  <c r="G56" i="1"/>
  <c r="H54" i="1" l="1"/>
  <c r="I52" i="1" l="1"/>
  <c r="I50" i="1"/>
  <c r="I49" i="1"/>
  <c r="I47" i="1"/>
  <c r="I36" i="1"/>
  <c r="I46" i="1"/>
  <c r="I45" i="1"/>
  <c r="I42" i="1"/>
  <c r="I26" i="1"/>
  <c r="I37" i="1"/>
  <c r="I53" i="1"/>
  <c r="I44" i="1"/>
  <c r="I43" i="1"/>
  <c r="I13" i="1"/>
  <c r="I7" i="1"/>
  <c r="I39" i="1"/>
  <c r="I21" i="1"/>
  <c r="I40" i="1"/>
  <c r="I41" i="1"/>
  <c r="I23" i="1"/>
  <c r="I54" i="1" l="1"/>
</calcChain>
</file>

<file path=xl/sharedStrings.xml><?xml version="1.0" encoding="utf-8"?>
<sst xmlns="http://schemas.openxmlformats.org/spreadsheetml/2006/main" count="230" uniqueCount="113">
  <si>
    <t>СНТ "ЛЕСНАЯ  ПОЛЯНА"</t>
  </si>
  <si>
    <t>№  пп</t>
  </si>
  <si>
    <t>Наименование  затрат</t>
  </si>
  <si>
    <t>Примечание</t>
  </si>
  <si>
    <t>На сотку затраты по статьям (руб.)</t>
  </si>
  <si>
    <t>В процентах (%)</t>
  </si>
  <si>
    <t>1.</t>
  </si>
  <si>
    <t>СОДЕРЖАНИЕ  внутренних дорог</t>
  </si>
  <si>
    <t>1.1</t>
  </si>
  <si>
    <t>2</t>
  </si>
  <si>
    <t>ориентировочно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</si>
  <si>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</si>
  <si>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</si>
  <si>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</si>
  <si>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</si>
  <si>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</si>
  <si>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</si>
  <si>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</si>
  <si>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</si>
  <si>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</si>
  <si>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</si>
  <si>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</si>
  <si>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</si>
  <si>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</si>
  <si>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</si>
  <si>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</si>
  <si>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</si>
  <si>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</si>
  <si>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</si>
  <si>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</si>
  <si>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</si>
  <si>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</si>
  <si>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</si>
  <si>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</si>
  <si>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</si>
  <si>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</si>
  <si>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</si>
  <si>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</si>
  <si>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</si>
  <si>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</si>
  <si>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</si>
  <si>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</si>
  <si>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</si>
  <si>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</si>
  <si>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</si>
  <si>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</si>
  <si>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7</t>
  </si>
  <si>
    <t>8.</t>
  </si>
  <si>
    <t>8.1</t>
  </si>
  <si>
    <t>8.2</t>
  </si>
  <si>
    <t>Водный налог (от количества потребленной воды)</t>
  </si>
  <si>
    <t>8.3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</si>
  <si>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</si>
  <si>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</si>
  <si>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</si>
  <si>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</si>
  <si>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</si>
  <si>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</si>
  <si>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</si>
  <si>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Канцтовары, содержание оргтехники, сайт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</si>
  <si>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</si>
  <si>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</si>
  <si>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</si>
  <si>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</si>
  <si>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</si>
  <si>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</si>
  <si>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</si>
  <si>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</si>
  <si>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из сметы 2021</t>
  </si>
  <si>
    <t>Ямочный ремонт (все улицы и подъезные дороги) в два этапа</t>
  </si>
  <si>
    <t xml:space="preserve">Экономия (+), перерасход (-) </t>
  </si>
  <si>
    <t>2.1.</t>
  </si>
  <si>
    <t>ЭЛЕКТРОСНАБЖЕНИЕ И СОДЕРЖАНИЕ ОБЪЕКТОВ СНТ</t>
  </si>
  <si>
    <t>8.8.</t>
  </si>
  <si>
    <t>8.9.</t>
  </si>
  <si>
    <t xml:space="preserve"> СУММА по статьям расходов</t>
  </si>
  <si>
    <t>Регулярные анализы воды из скважины</t>
  </si>
  <si>
    <t>Разовые услуги,пени</t>
  </si>
  <si>
    <t>2.2.</t>
  </si>
  <si>
    <t>Расходы на окашивание периметра всей территории СНТ (три раза за летний период), благоустройство территории</t>
  </si>
  <si>
    <t>Ограждение территории СНТ (частично)</t>
  </si>
  <si>
    <t>30000= из сметы на 2021 остаток</t>
  </si>
  <si>
    <t>8.10</t>
  </si>
  <si>
    <t>8.11.</t>
  </si>
  <si>
    <t>Услуги удаленной диспетчеризации (шлагбаумы)</t>
  </si>
  <si>
    <t>перенос на 2025</t>
  </si>
  <si>
    <t>ориентир. 970 м3</t>
  </si>
  <si>
    <t>470000 перенос с 2024</t>
  </si>
  <si>
    <t>9685 в месяц</t>
  </si>
  <si>
    <t>НАЛОГ НА ЗЕМЛЮ (ЗОП) ЗА 2025 год</t>
  </si>
  <si>
    <t>970 м3</t>
  </si>
  <si>
    <t>10.</t>
  </si>
  <si>
    <t>НЕПРЕДВИДЕННЫЕ РАСХОДЫ</t>
  </si>
  <si>
    <t>Расход  электроэнергии  на  уличное освещение и на другие объекты СНТ</t>
  </si>
  <si>
    <t>Исполнение сметы в 2025 году</t>
  </si>
  <si>
    <t>Интернет в СНТ, юридические, нотариальные, почтовые услуги, ЭДО</t>
  </si>
  <si>
    <t>ПРОЧИЕ  ХОЗЯЙСТВЕННЫЕ  РАСХОДЫ</t>
  </si>
  <si>
    <t>46610 м2, кад.ст. 827,56 руб./м2</t>
  </si>
  <si>
    <t>ИТОГО прочих хозяйственных расходов</t>
  </si>
  <si>
    <t>Расходные материалы (светильники, лампы, фотореле), внеплановый ремонт (материалы)</t>
  </si>
  <si>
    <t>(для замены насоса)</t>
  </si>
  <si>
    <t>израсх. 45000= за январь - март</t>
  </si>
  <si>
    <t>на общ.сумму 550000</t>
  </si>
  <si>
    <t>По ГПХ</t>
  </si>
  <si>
    <t>Сторонняя организация</t>
  </si>
  <si>
    <t>И по ГПХ</t>
  </si>
  <si>
    <t>Общую сумму расходов делим на общее количество соток в СНТ (в пользовании физ.лиц)</t>
  </si>
  <si>
    <t xml:space="preserve">       С  М  Е  Т  А    Р  А  С  Х  О  Д  О  В    на   2 0 2 5          </t>
  </si>
  <si>
    <t>Утверждена общим собранием от 21.06.2025</t>
  </si>
  <si>
    <t>ГПХ ремонт бочки</t>
  </si>
  <si>
    <t>с учетом шлагбаумов</t>
  </si>
  <si>
    <t>Примечание по факт. исполнению</t>
  </si>
  <si>
    <t xml:space="preserve">видеонабл-е, ураган, обслуж.Ш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</si>
</sst>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_(* #,##0.00_);_(* \(#,##0.00\);_(* &quot;-&quot;??_);_(@_)"/>
    <numFmt numFmtId="165" formatCode="0.0%"/>
  </numFmts>
  <fonts count="46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1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C00000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  <charset val="204"/>
    </font>
    <font>
      <b/>
      <u/>
      <sz val="10"/>
      <color indexed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name val="Arial"/>
      <family val="2"/>
      <charset val="204"/>
    </font>
    <font>
      <sz val="12"/>
      <name val="Arial"/>
      <family val="2"/>
      <charset val="204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.5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color rgb="FFFF0000"/>
      <name val="Arial"/>
      <family val="2"/>
      <charset val="204"/>
    </font>
    <font>
      <sz val="7"/>
      <color indexed="8"/>
      <name val="Arial"/>
      <family val="2"/>
      <charset val="204"/>
    </font>
    <font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3" xfId="1" applyNumberFormat="1" applyFont="1" applyBorder="1" applyAlignment="1">
      <alignment horizontal="center" vertical="center" wrapText="1"/>
    </xf>
    <xf numFmtId="164" fontId="4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49" fontId="1" fillId="0" borderId="6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1" xfId="1" applyNumberFormat="1" applyBorder="1" applyAlignment="1">
      <alignment horizontal="left" vertical="center" wrapText="1"/>
    </xf>
    <xf numFmtId="164" fontId="10" fillId="0" borderId="10" xfId="2" applyFont="1" applyBorder="1" applyAlignment="1">
      <alignment horizontal="center" vertical="center" wrapText="1"/>
    </xf>
    <xf numFmtId="164" fontId="11" fillId="0" borderId="10" xfId="2" applyFont="1" applyFill="1" applyBorder="1" applyAlignment="1">
      <alignment horizontal="center" vertical="center" wrapText="1"/>
    </xf>
    <xf numFmtId="164" fontId="2" fillId="0" borderId="13" xfId="2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 wrapText="1"/>
    </xf>
    <xf numFmtId="164" fontId="4" fillId="0" borderId="10" xfId="2" applyFont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4" fillId="0" borderId="14" xfId="1" applyNumberFormat="1" applyFont="1" applyBorder="1" applyAlignment="1">
      <alignment horizontal="left" vertical="center" wrapText="1"/>
    </xf>
    <xf numFmtId="164" fontId="1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164" fontId="11" fillId="0" borderId="10" xfId="2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left" vertical="center" wrapText="1"/>
    </xf>
    <xf numFmtId="164" fontId="4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4" fontId="1" fillId="0" borderId="10" xfId="2" applyFont="1" applyFill="1" applyBorder="1" applyAlignment="1">
      <alignment horizontal="center" vertical="center" wrapText="1"/>
    </xf>
    <xf numFmtId="164" fontId="1" fillId="0" borderId="22" xfId="2" applyFont="1" applyBorder="1" applyAlignment="1">
      <alignment horizontal="center" vertical="center" wrapText="1"/>
    </xf>
    <xf numFmtId="164" fontId="13" fillId="0" borderId="26" xfId="2" applyFont="1" applyBorder="1" applyAlignment="1">
      <alignment horizontal="center" vertical="center" wrapText="1"/>
    </xf>
    <xf numFmtId="164" fontId="11" fillId="0" borderId="26" xfId="2" applyFont="1" applyBorder="1" applyAlignment="1">
      <alignment horizontal="center" vertical="center" wrapText="1"/>
    </xf>
    <xf numFmtId="164" fontId="14" fillId="0" borderId="28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164" fontId="6" fillId="0" borderId="13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7" fillId="0" borderId="13" xfId="2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49" fontId="2" fillId="0" borderId="33" xfId="1" applyNumberFormat="1" applyFont="1" applyBorder="1" applyAlignment="1">
      <alignment horizontal="left" vertical="center" wrapText="1"/>
    </xf>
    <xf numFmtId="1" fontId="1" fillId="0" borderId="34" xfId="1" applyNumberFormat="1" applyBorder="1" applyAlignment="1">
      <alignment horizontal="center" vertical="center" wrapText="1"/>
    </xf>
    <xf numFmtId="165" fontId="2" fillId="0" borderId="34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2" borderId="26" xfId="1" applyNumberFormat="1" applyFill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2" fillId="0" borderId="38" xfId="1" applyNumberFormat="1" applyFont="1" applyBorder="1" applyAlignment="1">
      <alignment horizontal="left" vertical="center" wrapText="1"/>
    </xf>
    <xf numFmtId="164" fontId="7" fillId="0" borderId="26" xfId="2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64" fontId="1" fillId="0" borderId="13" xfId="2" applyFont="1" applyBorder="1" applyAlignment="1">
      <alignment horizontal="center" vertical="center" wrapText="1"/>
    </xf>
    <xf numFmtId="164" fontId="6" fillId="0" borderId="10" xfId="2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vertical="center" wrapText="1"/>
    </xf>
    <xf numFmtId="164" fontId="17" fillId="0" borderId="10" xfId="2" applyFont="1" applyBorder="1" applyAlignment="1">
      <alignment horizontal="center" vertical="center" wrapText="1"/>
    </xf>
    <xf numFmtId="49" fontId="6" fillId="0" borderId="38" xfId="1" applyNumberFormat="1" applyFont="1" applyBorder="1" applyAlignment="1">
      <alignment horizontal="left" vertical="center" wrapText="1"/>
    </xf>
    <xf numFmtId="164" fontId="13" fillId="0" borderId="41" xfId="2" applyFont="1" applyBorder="1" applyAlignment="1">
      <alignment horizontal="center" vertical="center" wrapText="1"/>
    </xf>
    <xf numFmtId="165" fontId="2" fillId="2" borderId="31" xfId="1" applyNumberFormat="1" applyFont="1" applyFill="1" applyBorder="1" applyAlignment="1">
      <alignment horizontal="center" vertical="center" wrapText="1"/>
    </xf>
    <xf numFmtId="164" fontId="19" fillId="0" borderId="31" xfId="2" applyFont="1" applyBorder="1" applyAlignment="1">
      <alignment horizontal="center" vertical="center" wrapText="1"/>
    </xf>
    <xf numFmtId="164" fontId="6" fillId="0" borderId="32" xfId="2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10" fontId="2" fillId="2" borderId="31" xfId="1" applyNumberFormat="1" applyFont="1" applyFill="1" applyBorder="1" applyAlignment="1">
      <alignment horizontal="center" vertical="center" wrapText="1"/>
    </xf>
    <xf numFmtId="1" fontId="1" fillId="0" borderId="26" xfId="1" applyNumberFormat="1" applyBorder="1" applyAlignment="1">
      <alignment horizontal="center" vertical="center" wrapText="1"/>
    </xf>
    <xf numFmtId="165" fontId="2" fillId="0" borderId="26" xfId="1" applyNumberFormat="1" applyFont="1" applyBorder="1" applyAlignment="1">
      <alignment horizontal="center" vertical="center" wrapText="1"/>
    </xf>
    <xf numFmtId="165" fontId="2" fillId="2" borderId="41" xfId="1" applyNumberFormat="1" applyFont="1" applyFill="1" applyBorder="1" applyAlignment="1">
      <alignment horizontal="center" vertical="center" wrapText="1"/>
    </xf>
    <xf numFmtId="164" fontId="11" fillId="0" borderId="42" xfId="2" applyFont="1" applyBorder="1" applyAlignment="1">
      <alignment horizontal="center" vertical="center" wrapText="1"/>
    </xf>
    <xf numFmtId="164" fontId="20" fillId="0" borderId="4" xfId="2" applyFont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9" fontId="4" fillId="0" borderId="4" xfId="1" applyNumberFormat="1" applyFont="1" applyBorder="1" applyAlignment="1">
      <alignment horizontal="center" vertical="center" wrapText="1"/>
    </xf>
    <xf numFmtId="164" fontId="10" fillId="0" borderId="5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164" fontId="1" fillId="0" borderId="0" xfId="2" applyFont="1" applyAlignment="1">
      <alignment horizontal="center"/>
    </xf>
    <xf numFmtId="1" fontId="21" fillId="0" borderId="0" xfId="1" applyNumberFormat="1" applyFont="1" applyAlignment="1">
      <alignment horizontal="center"/>
    </xf>
    <xf numFmtId="164" fontId="11" fillId="0" borderId="0" xfId="2" applyFont="1" applyAlignment="1">
      <alignment horizontal="center"/>
    </xf>
    <xf numFmtId="164" fontId="12" fillId="0" borderId="0" xfId="2" applyFont="1" applyAlignment="1">
      <alignment horizontal="center"/>
    </xf>
    <xf numFmtId="164" fontId="22" fillId="0" borderId="0" xfId="2" applyFont="1" applyAlignment="1">
      <alignment horizontal="center"/>
    </xf>
    <xf numFmtId="0" fontId="23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7" fillId="0" borderId="0" xfId="2" applyFont="1" applyAlignment="1">
      <alignment horizontal="center"/>
    </xf>
    <xf numFmtId="0" fontId="6" fillId="0" borderId="0" xfId="1" applyFont="1"/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" fontId="15" fillId="0" borderId="3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2" fillId="2" borderId="4" xfId="1" applyFont="1" applyFill="1" applyBorder="1" applyAlignment="1">
      <alignment horizontal="center" vertical="center" wrapText="1"/>
    </xf>
    <xf numFmtId="164" fontId="26" fillId="0" borderId="4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10" xfId="2" applyFont="1" applyBorder="1" applyAlignment="1">
      <alignment horizontal="center" vertical="center" wrapText="1"/>
    </xf>
    <xf numFmtId="164" fontId="2" fillId="0" borderId="34" xfId="2" applyFont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9" fillId="0" borderId="31" xfId="2" applyFont="1" applyBorder="1" applyAlignment="1">
      <alignment horizontal="center" vertical="center" wrapText="1"/>
    </xf>
    <xf numFmtId="1" fontId="9" fillId="2" borderId="31" xfId="1" applyNumberFormat="1" applyFont="1" applyFill="1" applyBorder="1" applyAlignment="1">
      <alignment horizontal="center" vertical="center" wrapText="1"/>
    </xf>
    <xf numFmtId="1" fontId="9" fillId="2" borderId="26" xfId="1" applyNumberFormat="1" applyFont="1" applyFill="1" applyBorder="1" applyAlignment="1">
      <alignment horizontal="center" vertical="center" wrapText="1"/>
    </xf>
    <xf numFmtId="1" fontId="9" fillId="2" borderId="41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0" fontId="1" fillId="2" borderId="10" xfId="1" applyNumberFormat="1" applyFill="1" applyBorder="1" applyAlignment="1">
      <alignment horizontal="center"/>
    </xf>
    <xf numFmtId="1" fontId="1" fillId="2" borderId="10" xfId="1" applyNumberFormat="1" applyFill="1" applyBorder="1" applyAlignment="1">
      <alignment horizontal="center"/>
    </xf>
    <xf numFmtId="1" fontId="27" fillId="2" borderId="41" xfId="1" applyNumberFormat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164" fontId="7" fillId="0" borderId="28" xfId="2" applyFont="1" applyBorder="1" applyAlignment="1">
      <alignment horizontal="center" vertical="center" wrapText="1"/>
    </xf>
    <xf numFmtId="164" fontId="11" fillId="0" borderId="28" xfId="2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4" fontId="3" fillId="0" borderId="31" xfId="2" applyFont="1" applyBorder="1" applyAlignment="1">
      <alignment horizontal="center" vertical="center" wrapText="1"/>
    </xf>
    <xf numFmtId="164" fontId="12" fillId="0" borderId="37" xfId="2" applyFont="1" applyBorder="1" applyAlignment="1">
      <alignment horizontal="center" vertical="center" wrapText="1"/>
    </xf>
    <xf numFmtId="164" fontId="7" fillId="0" borderId="41" xfId="1" applyNumberFormat="1" applyFont="1" applyBorder="1" applyAlignment="1">
      <alignment horizontal="center" vertical="center" wrapText="1"/>
    </xf>
    <xf numFmtId="164" fontId="4" fillId="0" borderId="13" xfId="2" applyFont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49" fontId="4" fillId="0" borderId="0" xfId="1" applyNumberFormat="1" applyFont="1"/>
    <xf numFmtId="0" fontId="4" fillId="0" borderId="0" xfId="1" applyFont="1" applyAlignment="1">
      <alignment horizontal="center"/>
    </xf>
    <xf numFmtId="17" fontId="1" fillId="0" borderId="0" xfId="1" applyNumberFormat="1" applyAlignment="1">
      <alignment vertical="center" wrapText="1"/>
    </xf>
    <xf numFmtId="164" fontId="7" fillId="0" borderId="10" xfId="2" applyFont="1" applyBorder="1" applyAlignment="1">
      <alignment horizontal="center" vertical="center" wrapText="1"/>
    </xf>
    <xf numFmtId="43" fontId="1" fillId="0" borderId="0" xfId="1" applyNumberFormat="1" applyAlignment="1">
      <alignment vertical="center" wrapText="1"/>
    </xf>
    <xf numFmtId="164" fontId="6" fillId="0" borderId="31" xfId="2" applyFont="1" applyBorder="1" applyAlignment="1">
      <alignment horizontal="center" vertical="center" wrapText="1"/>
    </xf>
    <xf numFmtId="43" fontId="31" fillId="0" borderId="37" xfId="0" applyNumberFormat="1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0" fontId="32" fillId="0" borderId="13" xfId="0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13" fillId="0" borderId="34" xfId="2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4" fillId="0" borderId="37" xfId="2" applyFont="1" applyBorder="1" applyAlignment="1">
      <alignment horizontal="center" vertical="center" wrapText="1"/>
    </xf>
    <xf numFmtId="164" fontId="13" fillId="0" borderId="41" xfId="2" applyFont="1" applyFill="1" applyBorder="1" applyAlignment="1">
      <alignment horizontal="center" vertical="center" wrapText="1"/>
    </xf>
    <xf numFmtId="1" fontId="37" fillId="2" borderId="34" xfId="1" applyNumberFormat="1" applyFont="1" applyFill="1" applyBorder="1" applyAlignment="1">
      <alignment horizontal="center" vertical="center" wrapText="1"/>
    </xf>
    <xf numFmtId="165" fontId="2" fillId="2" borderId="34" xfId="1" applyNumberFormat="1" applyFont="1" applyFill="1" applyBorder="1" applyAlignment="1">
      <alignment horizontal="center" vertical="center" wrapText="1"/>
    </xf>
    <xf numFmtId="164" fontId="17" fillId="0" borderId="32" xfId="2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49" fontId="2" fillId="0" borderId="14" xfId="1" applyNumberFormat="1" applyFont="1" applyBorder="1" applyAlignment="1">
      <alignment horizontal="left" vertical="center" wrapText="1"/>
    </xf>
    <xf numFmtId="164" fontId="16" fillId="0" borderId="32" xfId="2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6" fillId="0" borderId="49" xfId="1" applyFont="1" applyBorder="1" applyAlignment="1">
      <alignment horizontal="left" vertical="center" wrapText="1"/>
    </xf>
    <xf numFmtId="0" fontId="0" fillId="0" borderId="0" xfId="1" applyFont="1" applyAlignment="1">
      <alignment horizontal="center"/>
    </xf>
    <xf numFmtId="164" fontId="1" fillId="0" borderId="0" xfId="2" applyFont="1" applyAlignment="1">
      <alignment horizontal="left"/>
    </xf>
    <xf numFmtId="2" fontId="4" fillId="4" borderId="0" xfId="1" applyNumberFormat="1" applyFont="1" applyFill="1" applyAlignment="1">
      <alignment horizontal="center"/>
    </xf>
    <xf numFmtId="164" fontId="11" fillId="0" borderId="31" xfId="2" applyFont="1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49" fontId="2" fillId="0" borderId="50" xfId="1" applyNumberFormat="1" applyFont="1" applyBorder="1" applyAlignment="1">
      <alignment horizontal="left" vertical="center" wrapText="1"/>
    </xf>
    <xf numFmtId="0" fontId="9" fillId="0" borderId="3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164" fontId="13" fillId="0" borderId="0" xfId="2" applyFont="1" applyBorder="1" applyAlignment="1">
      <alignment horizontal="center" vertical="center" wrapText="1"/>
    </xf>
    <xf numFmtId="1" fontId="1" fillId="2" borderId="0" xfId="1" applyNumberFormat="1" applyFill="1" applyBorder="1" applyAlignment="1">
      <alignment horizontal="center" vertical="center" wrapText="1"/>
    </xf>
    <xf numFmtId="165" fontId="2" fillId="2" borderId="0" xfId="1" applyNumberFormat="1" applyFont="1" applyFill="1" applyBorder="1" applyAlignment="1">
      <alignment horizontal="center" vertical="center" wrapText="1"/>
    </xf>
    <xf numFmtId="164" fontId="41" fillId="0" borderId="0" xfId="2" applyFont="1" applyBorder="1" applyAlignment="1">
      <alignment horizontal="center" vertical="center" wrapText="1"/>
    </xf>
    <xf numFmtId="164" fontId="41" fillId="0" borderId="51" xfId="2" applyFont="1" applyBorder="1" applyAlignment="1">
      <alignment horizontal="center" vertical="center" wrapText="1"/>
    </xf>
    <xf numFmtId="164" fontId="6" fillId="0" borderId="4" xfId="2" applyFont="1" applyBorder="1" applyAlignment="1">
      <alignment horizontal="center" vertical="center" wrapText="1"/>
    </xf>
    <xf numFmtId="4" fontId="42" fillId="0" borderId="10" xfId="0" applyNumberFormat="1" applyFont="1" applyBorder="1" applyAlignment="1">
      <alignment horizontal="right" vertical="center" wrapText="1"/>
    </xf>
    <xf numFmtId="164" fontId="7" fillId="0" borderId="41" xfId="2" applyFont="1" applyFill="1" applyBorder="1" applyAlignment="1">
      <alignment horizontal="center" vertical="center" wrapText="1"/>
    </xf>
    <xf numFmtId="164" fontId="19" fillId="0" borderId="31" xfId="2" applyFont="1" applyFill="1" applyBorder="1" applyAlignment="1">
      <alignment horizontal="center" vertical="center" wrapText="1"/>
    </xf>
    <xf numFmtId="164" fontId="43" fillId="0" borderId="42" xfId="2" applyFont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right" vertical="center" wrapText="1"/>
    </xf>
    <xf numFmtId="164" fontId="43" fillId="0" borderId="28" xfId="2" applyFont="1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49" fontId="4" fillId="0" borderId="0" xfId="1" applyNumberFormat="1" applyFont="1"/>
    <xf numFmtId="0" fontId="6" fillId="0" borderId="43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1" fontId="6" fillId="0" borderId="46" xfId="1" applyNumberFormat="1" applyFont="1" applyBorder="1" applyAlignment="1">
      <alignment horizontal="center" vertical="center" wrapText="1"/>
    </xf>
    <xf numFmtId="1" fontId="6" fillId="0" borderId="4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29" xfId="1" applyFont="1" applyBorder="1" applyAlignment="1">
      <alignment horizontal="left" vertical="center" wrapText="1"/>
    </xf>
    <xf numFmtId="0" fontId="2" fillId="0" borderId="47" xfId="1" applyFont="1" applyBorder="1" applyAlignment="1">
      <alignment horizontal="left" vertical="center" wrapText="1"/>
    </xf>
    <xf numFmtId="0" fontId="2" fillId="0" borderId="30" xfId="1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10" fontId="2" fillId="0" borderId="27" xfId="1" applyNumberFormat="1" applyFont="1" applyBorder="1" applyAlignment="1">
      <alignment horizontal="center" vertical="center" wrapText="1"/>
    </xf>
    <xf numFmtId="10" fontId="2" fillId="0" borderId="25" xfId="1" applyNumberFormat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10" fontId="44" fillId="0" borderId="46" xfId="1" applyNumberFormat="1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" fontId="15" fillId="0" borderId="7" xfId="1" applyNumberFormat="1" applyFont="1" applyBorder="1" applyAlignment="1">
      <alignment horizontal="center" vertical="center" wrapText="1"/>
    </xf>
    <xf numFmtId="1" fontId="15" fillId="0" borderId="40" xfId="1" applyNumberFormat="1" applyFont="1" applyBorder="1" applyAlignment="1">
      <alignment horizontal="center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36" fillId="0" borderId="11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9" fillId="3" borderId="29" xfId="1" applyFont="1" applyFill="1" applyBorder="1" applyAlignment="1">
      <alignment horizontal="center" vertical="center" wrapText="1"/>
    </xf>
    <xf numFmtId="0" fontId="9" fillId="3" borderId="30" xfId="1" applyFont="1" applyFill="1" applyBorder="1" applyAlignment="1">
      <alignment horizontal="center" vertical="center" wrapText="1"/>
    </xf>
    <xf numFmtId="0" fontId="24" fillId="0" borderId="39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4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" fontId="2" fillId="0" borderId="27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4" fillId="0" borderId="48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9" fillId="0" borderId="10" xfId="1" applyFont="1" applyBorder="1" applyAlignment="1">
      <alignment horizontal="left" vertical="center" wrapText="1"/>
    </xf>
    <xf numFmtId="0" fontId="9" fillId="0" borderId="26" xfId="1" applyFont="1" applyBorder="1" applyAlignment="1">
      <alignment horizontal="left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" fontId="15" fillId="0" borderId="27" xfId="1" applyNumberFormat="1" applyFont="1" applyBorder="1" applyAlignment="1">
      <alignment horizontal="center" vertical="center" wrapText="1"/>
    </xf>
    <xf numFmtId="1" fontId="15" fillId="0" borderId="25" xfId="1" applyNumberFormat="1" applyFont="1" applyBorder="1" applyAlignment="1">
      <alignment horizontal="center" vertical="center" wrapText="1"/>
    </xf>
    <xf numFmtId="0" fontId="12" fillId="0" borderId="27" xfId="1" applyFont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64" fontId="16" fillId="0" borderId="22" xfId="2" applyFont="1" applyBorder="1" applyAlignment="1">
      <alignment horizontal="center" vertical="center" wrapText="1"/>
    </xf>
    <xf numFmtId="0" fontId="9" fillId="0" borderId="11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4" fontId="4" fillId="0" borderId="44" xfId="1" applyNumberFormat="1" applyFont="1" applyBorder="1" applyAlignment="1">
      <alignment horizontal="center" vertical="center" wrapText="1"/>
    </xf>
    <xf numFmtId="4" fontId="40" fillId="0" borderId="44" xfId="0" applyNumberFormat="1" applyFont="1" applyBorder="1" applyAlignment="1">
      <alignment horizontal="center" vertical="center" wrapText="1"/>
    </xf>
    <xf numFmtId="1" fontId="15" fillId="0" borderId="11" xfId="1" applyNumberFormat="1" applyFont="1" applyBorder="1" applyAlignment="1">
      <alignment horizontal="center" vertical="center" wrapText="1"/>
    </xf>
    <xf numFmtId="1" fontId="15" fillId="0" borderId="12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11" fillId="0" borderId="29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49" fontId="4" fillId="0" borderId="31" xfId="2" applyNumberFormat="1" applyFont="1" applyBorder="1" applyAlignment="1">
      <alignment horizontal="center" vertical="center" wrapText="1"/>
    </xf>
    <xf numFmtId="49" fontId="4" fillId="0" borderId="21" xfId="2" applyNumberFormat="1" applyFont="1" applyBorder="1" applyAlignment="1">
      <alignment horizontal="center" vertical="center" wrapText="1"/>
    </xf>
    <xf numFmtId="1" fontId="1" fillId="0" borderId="31" xfId="1" applyNumberForma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5" fontId="2" fillId="0" borderId="31" xfId="1" applyNumberFormat="1" applyFont="1" applyBorder="1" applyAlignment="1">
      <alignment horizontal="center" vertical="center" wrapText="1"/>
    </xf>
    <xf numFmtId="165" fontId="2" fillId="0" borderId="21" xfId="1" applyNumberFormat="1" applyFont="1" applyBorder="1" applyAlignment="1">
      <alignment horizontal="center" vertical="center" wrapText="1"/>
    </xf>
    <xf numFmtId="1" fontId="4" fillId="0" borderId="29" xfId="1" applyNumberFormat="1" applyFont="1" applyBorder="1" applyAlignment="1">
      <alignment horizontal="center" vertical="center" wrapText="1"/>
    </xf>
    <xf numFmtId="1" fontId="4" fillId="0" borderId="30" xfId="1" applyNumberFormat="1" applyFont="1" applyBorder="1" applyAlignment="1">
      <alignment horizontal="center" vertical="center" wrapText="1"/>
    </xf>
    <xf numFmtId="1" fontId="4" fillId="0" borderId="18" xfId="1" applyNumberFormat="1" applyFont="1" applyBorder="1" applyAlignment="1">
      <alignment horizontal="center" vertical="center" wrapText="1"/>
    </xf>
    <xf numFmtId="1" fontId="4" fillId="0" borderId="20" xfId="1" applyNumberFormat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 vertical="center" wrapText="1"/>
    </xf>
    <xf numFmtId="0" fontId="30" fillId="0" borderId="1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workbookViewId="0">
      <selection sqref="A1:XFD1048576"/>
    </sheetView>
  </sheetViews>
  <sheetFormatPr defaultColWidth="10.1796875" defaultRowHeight="12.5" x14ac:dyDescent="0.25"/>
  <cols>
    <col min="1" max="1" width="5.81640625" style="71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72" customWidth="1"/>
    <col min="6" max="6" width="7.81640625" style="72" customWidth="1"/>
    <col min="7" max="7" width="17.90625" style="73" customWidth="1"/>
    <col min="8" max="8" width="11" style="72" customWidth="1"/>
    <col min="9" max="9" width="6.81640625" style="72" customWidth="1"/>
    <col min="10" max="10" width="6.453125" style="72" customWidth="1"/>
    <col min="11" max="11" width="5.26953125" style="72" customWidth="1"/>
    <col min="12" max="12" width="14.1796875" style="73" customWidth="1"/>
    <col min="13" max="13" width="13.54296875" style="73" customWidth="1"/>
    <col min="14" max="14" width="6.81640625" style="5" customWidth="1"/>
    <col min="15" max="15" width="11.08984375" style="5" bestFit="1" customWidth="1"/>
    <col min="16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316" t="s">
        <v>0</v>
      </c>
      <c r="B1" s="316"/>
      <c r="C1" s="316"/>
      <c r="D1" s="316"/>
      <c r="E1" s="1"/>
      <c r="F1" s="1"/>
      <c r="G1" s="2"/>
      <c r="I1" s="3"/>
      <c r="J1" s="114" t="s">
        <v>108</v>
      </c>
      <c r="K1" s="85"/>
      <c r="L1" s="85"/>
      <c r="M1" s="85"/>
      <c r="N1" s="4"/>
    </row>
    <row r="2" spans="1:14" ht="11" customHeight="1" x14ac:dyDescent="0.35">
      <c r="A2" s="113"/>
      <c r="B2" s="113"/>
      <c r="C2" s="113"/>
      <c r="D2" s="113"/>
      <c r="E2" s="133"/>
      <c r="F2" s="1"/>
      <c r="G2" s="2"/>
      <c r="I2" s="3"/>
      <c r="J2" s="101"/>
      <c r="K2" s="85"/>
      <c r="L2" s="85"/>
      <c r="M2" s="85"/>
      <c r="N2" s="4"/>
    </row>
    <row r="3" spans="1:14" ht="18" x14ac:dyDescent="0.25">
      <c r="A3" s="311" t="s">
        <v>107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4"/>
    </row>
    <row r="4" spans="1:14" ht="13.5" thickBot="1" x14ac:dyDescent="0.35">
      <c r="A4" s="6"/>
      <c r="B4" s="4"/>
      <c r="C4" s="4"/>
      <c r="D4" s="4"/>
      <c r="E4" s="1"/>
      <c r="F4" s="1"/>
      <c r="G4" s="2"/>
      <c r="H4" s="3"/>
      <c r="I4" s="3"/>
      <c r="J4" s="1"/>
      <c r="K4" s="1"/>
      <c r="L4" s="7"/>
      <c r="M4" s="2"/>
      <c r="N4" s="4"/>
    </row>
    <row r="5" spans="1:14" s="11" customFormat="1" ht="50.5" thickBot="1" x14ac:dyDescent="0.4">
      <c r="A5" s="8" t="s">
        <v>1</v>
      </c>
      <c r="B5" s="312" t="s">
        <v>2</v>
      </c>
      <c r="C5" s="312"/>
      <c r="D5" s="312"/>
      <c r="E5" s="313" t="s">
        <v>3</v>
      </c>
      <c r="F5" s="313"/>
      <c r="G5" s="9" t="s">
        <v>75</v>
      </c>
      <c r="H5" s="86" t="s">
        <v>4</v>
      </c>
      <c r="I5" s="86" t="s">
        <v>5</v>
      </c>
      <c r="J5" s="313" t="s">
        <v>111</v>
      </c>
      <c r="K5" s="313"/>
      <c r="L5" s="87" t="s">
        <v>94</v>
      </c>
      <c r="M5" s="88" t="s">
        <v>70</v>
      </c>
      <c r="N5" s="10"/>
    </row>
    <row r="6" spans="1:14" s="13" customFormat="1" ht="22.5" customHeight="1" x14ac:dyDescent="0.35">
      <c r="A6" s="12" t="s">
        <v>6</v>
      </c>
      <c r="B6" s="240" t="s">
        <v>7</v>
      </c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2"/>
    </row>
    <row r="7" spans="1:14" s="13" customFormat="1" ht="28.5" customHeight="1" x14ac:dyDescent="0.25">
      <c r="A7" s="14" t="s">
        <v>8</v>
      </c>
      <c r="B7" s="262" t="s">
        <v>69</v>
      </c>
      <c r="C7" s="262"/>
      <c r="D7" s="262"/>
      <c r="E7" s="314"/>
      <c r="F7" s="315"/>
      <c r="G7" s="15">
        <v>470000</v>
      </c>
      <c r="H7" s="98">
        <f>G7/F55</f>
        <v>167.51732200393488</v>
      </c>
      <c r="I7" s="97">
        <f>H7/H54</f>
        <v>9.8535717310670942E-2</v>
      </c>
      <c r="J7" s="299"/>
      <c r="K7" s="300"/>
      <c r="L7" s="16">
        <v>467471.1</v>
      </c>
      <c r="M7" s="111">
        <f>G7-L7</f>
        <v>2528.9000000000233</v>
      </c>
    </row>
    <row r="8" spans="1:14" s="13" customFormat="1" ht="2.5" customHeight="1" thickBot="1" x14ac:dyDescent="0.4">
      <c r="A8" s="18"/>
      <c r="B8" s="262"/>
      <c r="C8" s="262"/>
      <c r="D8" s="262"/>
      <c r="E8" s="222"/>
      <c r="F8" s="223"/>
      <c r="G8" s="19"/>
      <c r="H8" s="20"/>
      <c r="I8" s="20"/>
      <c r="J8" s="299"/>
      <c r="K8" s="300"/>
      <c r="L8" s="16"/>
      <c r="M8" s="17"/>
    </row>
    <row r="9" spans="1:14" s="13" customFormat="1" ht="16.5" customHeight="1" x14ac:dyDescent="0.35">
      <c r="A9" s="21" t="s">
        <v>9</v>
      </c>
      <c r="B9" s="240" t="s">
        <v>72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</row>
    <row r="10" spans="1:14" s="13" customFormat="1" ht="29.5" customHeight="1" x14ac:dyDescent="0.35">
      <c r="A10" s="14" t="s">
        <v>71</v>
      </c>
      <c r="B10" s="262" t="s">
        <v>93</v>
      </c>
      <c r="C10" s="262"/>
      <c r="D10" s="262"/>
      <c r="E10" s="299" t="s">
        <v>10</v>
      </c>
      <c r="F10" s="300"/>
      <c r="G10" s="23">
        <v>200000</v>
      </c>
      <c r="H10" s="24"/>
      <c r="I10" s="24"/>
      <c r="J10" s="309" t="s">
        <v>110</v>
      </c>
      <c r="K10" s="310"/>
      <c r="L10" s="16">
        <f>207042.78+8229.9</f>
        <v>215272.68</v>
      </c>
      <c r="M10" s="17"/>
    </row>
    <row r="11" spans="1:14" s="13" customFormat="1" ht="43" customHeight="1" x14ac:dyDescent="0.35">
      <c r="A11" s="25" t="s">
        <v>78</v>
      </c>
      <c r="B11" s="262" t="s">
        <v>99</v>
      </c>
      <c r="C11" s="262"/>
      <c r="D11" s="262"/>
      <c r="E11" s="276"/>
      <c r="F11" s="277"/>
      <c r="G11" s="89">
        <v>45000</v>
      </c>
      <c r="H11" s="20"/>
      <c r="I11" s="20"/>
      <c r="J11" s="299"/>
      <c r="K11" s="300"/>
      <c r="L11" s="16">
        <f>42753.2+633.33</f>
        <v>43386.53</v>
      </c>
      <c r="M11" s="111"/>
    </row>
    <row r="12" spans="1:14" s="13" customFormat="1" ht="4" customHeight="1" x14ac:dyDescent="0.35">
      <c r="A12" s="27"/>
      <c r="B12" s="301"/>
      <c r="C12" s="302"/>
      <c r="D12" s="303"/>
      <c r="E12" s="205"/>
      <c r="F12" s="206"/>
      <c r="G12" s="28"/>
      <c r="H12" s="29"/>
      <c r="I12" s="29"/>
      <c r="J12" s="304"/>
      <c r="K12" s="305"/>
      <c r="L12" s="30"/>
      <c r="M12" s="31"/>
    </row>
    <row r="13" spans="1:14" s="13" customFormat="1" ht="16" thickBot="1" x14ac:dyDescent="0.4">
      <c r="A13" s="278" t="s">
        <v>11</v>
      </c>
      <c r="B13" s="279"/>
      <c r="C13" s="279"/>
      <c r="D13" s="279"/>
      <c r="E13" s="279"/>
      <c r="F13" s="265"/>
      <c r="G13" s="32">
        <f>SUM(G10:G12)</f>
        <v>245000</v>
      </c>
      <c r="H13" s="94">
        <f>G13/F55</f>
        <v>87.32285934247669</v>
      </c>
      <c r="I13" s="96">
        <f>H13/H54</f>
        <v>5.1364363278966763E-2</v>
      </c>
      <c r="J13" s="256"/>
      <c r="K13" s="257"/>
      <c r="L13" s="33">
        <f>L10+L11</f>
        <v>258659.21</v>
      </c>
      <c r="M13" s="34">
        <f>G13-L13</f>
        <v>-13659.209999999992</v>
      </c>
    </row>
    <row r="14" spans="1:14" s="13" customFormat="1" ht="22.5" customHeight="1" x14ac:dyDescent="0.35">
      <c r="A14" s="22" t="s">
        <v>12</v>
      </c>
      <c r="B14" s="306" t="s">
        <v>13</v>
      </c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8"/>
    </row>
    <row r="15" spans="1:14" s="38" customFormat="1" ht="25.5" customHeight="1" x14ac:dyDescent="0.35">
      <c r="A15" s="35" t="s">
        <v>14</v>
      </c>
      <c r="B15" s="262" t="s">
        <v>66</v>
      </c>
      <c r="C15" s="262"/>
      <c r="D15" s="262"/>
      <c r="E15" s="222"/>
      <c r="F15" s="223"/>
      <c r="G15" s="89">
        <v>40000</v>
      </c>
      <c r="H15" s="20"/>
      <c r="I15" s="36"/>
      <c r="J15" s="224"/>
      <c r="K15" s="225"/>
      <c r="L15" s="26">
        <f>29885.7+5470</f>
        <v>35355.699999999997</v>
      </c>
      <c r="M15" s="37"/>
    </row>
    <row r="16" spans="1:14" s="13" customFormat="1" ht="24" customHeight="1" x14ac:dyDescent="0.35">
      <c r="A16" s="35" t="s">
        <v>15</v>
      </c>
      <c r="B16" s="262" t="s">
        <v>16</v>
      </c>
      <c r="C16" s="262"/>
      <c r="D16" s="262"/>
      <c r="E16" s="299" t="s">
        <v>10</v>
      </c>
      <c r="F16" s="300"/>
      <c r="G16" s="89">
        <v>95000</v>
      </c>
      <c r="H16" s="20"/>
      <c r="I16" s="36"/>
      <c r="J16" s="224"/>
      <c r="K16" s="225"/>
      <c r="L16" s="116">
        <v>78710</v>
      </c>
      <c r="M16" s="39"/>
    </row>
    <row r="17" spans="1:16" s="13" customFormat="1" ht="31" customHeight="1" x14ac:dyDescent="0.35">
      <c r="A17" s="35" t="s">
        <v>17</v>
      </c>
      <c r="B17" s="262" t="s">
        <v>67</v>
      </c>
      <c r="C17" s="262"/>
      <c r="D17" s="262"/>
      <c r="E17" s="276"/>
      <c r="F17" s="277"/>
      <c r="G17" s="89">
        <v>30000</v>
      </c>
      <c r="H17" s="20"/>
      <c r="I17" s="36"/>
      <c r="J17" s="282" t="s">
        <v>109</v>
      </c>
      <c r="K17" s="283"/>
      <c r="L17" s="26">
        <v>40345.5</v>
      </c>
      <c r="M17" s="37"/>
      <c r="N17" s="40"/>
      <c r="O17" s="40"/>
    </row>
    <row r="18" spans="1:16" s="13" customFormat="1" x14ac:dyDescent="0.35">
      <c r="A18" s="226" t="s">
        <v>18</v>
      </c>
      <c r="B18" s="284" t="s">
        <v>19</v>
      </c>
      <c r="C18" s="284"/>
      <c r="D18" s="284"/>
      <c r="E18" s="285" t="s">
        <v>81</v>
      </c>
      <c r="F18" s="286"/>
      <c r="G18" s="289" t="s">
        <v>68</v>
      </c>
      <c r="H18" s="291"/>
      <c r="I18" s="293"/>
      <c r="J18" s="295"/>
      <c r="K18" s="296"/>
      <c r="L18" s="270"/>
      <c r="M18" s="197" t="s">
        <v>85</v>
      </c>
      <c r="N18" s="40"/>
      <c r="O18" s="40"/>
    </row>
    <row r="19" spans="1:16" s="13" customFormat="1" x14ac:dyDescent="0.35">
      <c r="A19" s="226"/>
      <c r="B19" s="284"/>
      <c r="C19" s="284"/>
      <c r="D19" s="284"/>
      <c r="E19" s="287"/>
      <c r="F19" s="288"/>
      <c r="G19" s="290"/>
      <c r="H19" s="292"/>
      <c r="I19" s="294"/>
      <c r="J19" s="297"/>
      <c r="K19" s="298"/>
      <c r="L19" s="271"/>
      <c r="M19" s="272"/>
      <c r="N19" s="40"/>
      <c r="O19" s="40"/>
    </row>
    <row r="20" spans="1:16" s="13" customFormat="1" ht="6.5" customHeight="1" x14ac:dyDescent="0.3">
      <c r="A20" s="41"/>
      <c r="B20" s="273"/>
      <c r="C20" s="274"/>
      <c r="D20" s="275"/>
      <c r="E20" s="276"/>
      <c r="F20" s="277"/>
      <c r="G20" s="90"/>
      <c r="H20" s="42"/>
      <c r="I20" s="43"/>
      <c r="J20" s="44"/>
      <c r="K20" s="84"/>
      <c r="L20" s="45"/>
      <c r="M20" s="109"/>
      <c r="N20" s="40"/>
      <c r="O20" s="40"/>
    </row>
    <row r="21" spans="1:16" s="13" customFormat="1" ht="16" thickBot="1" x14ac:dyDescent="0.4">
      <c r="A21" s="278" t="s">
        <v>11</v>
      </c>
      <c r="B21" s="279"/>
      <c r="C21" s="279"/>
      <c r="D21" s="279"/>
      <c r="E21" s="279"/>
      <c r="F21" s="265"/>
      <c r="G21" s="32">
        <f>G15+G16+G17+G20</f>
        <v>165000</v>
      </c>
      <c r="H21" s="46">
        <f>G21/F55</f>
        <v>58.809272618402673</v>
      </c>
      <c r="I21" s="96">
        <f>H21/H54</f>
        <v>3.4592326289916396E-2</v>
      </c>
      <c r="J21" s="256"/>
      <c r="K21" s="257"/>
      <c r="L21" s="32">
        <f>L15+L16+L17+L20</f>
        <v>154411.20000000001</v>
      </c>
      <c r="M21" s="102">
        <f>G21-L21</f>
        <v>10588.799999999988</v>
      </c>
      <c r="N21" s="40"/>
      <c r="O21" s="40"/>
    </row>
    <row r="22" spans="1:16" s="13" customFormat="1" ht="17" customHeight="1" x14ac:dyDescent="0.35">
      <c r="A22" s="47" t="s">
        <v>20</v>
      </c>
      <c r="B22" s="240" t="s">
        <v>21</v>
      </c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2"/>
      <c r="N22" s="40"/>
      <c r="O22" s="40"/>
    </row>
    <row r="23" spans="1:16" s="13" customFormat="1" ht="28" customHeight="1" thickBot="1" x14ac:dyDescent="0.4">
      <c r="A23" s="48" t="s">
        <v>22</v>
      </c>
      <c r="B23" s="263" t="s">
        <v>23</v>
      </c>
      <c r="C23" s="263"/>
      <c r="D23" s="263"/>
      <c r="E23" s="264" t="s">
        <v>86</v>
      </c>
      <c r="F23" s="265"/>
      <c r="G23" s="32">
        <v>1150000</v>
      </c>
      <c r="H23" s="46">
        <f>G23/F55</f>
        <v>409.8828091585641</v>
      </c>
      <c r="I23" s="96">
        <f>H23/H54</f>
        <v>0.24109803171759914</v>
      </c>
      <c r="J23" s="266" t="s">
        <v>90</v>
      </c>
      <c r="K23" s="267"/>
      <c r="L23" s="49">
        <f>J24+L24+M24</f>
        <v>1053247.29</v>
      </c>
      <c r="M23" s="102">
        <f>G23-L23</f>
        <v>96752.709999999963</v>
      </c>
      <c r="N23" s="40"/>
      <c r="O23" s="40"/>
    </row>
    <row r="24" spans="1:16" s="13" customFormat="1" ht="17.5" customHeight="1" thickBot="1" x14ac:dyDescent="0.4">
      <c r="A24" s="149"/>
      <c r="B24" s="150"/>
      <c r="C24" s="151"/>
      <c r="D24" s="151"/>
      <c r="E24" s="104"/>
      <c r="F24" s="104"/>
      <c r="G24" s="152"/>
      <c r="H24" s="153"/>
      <c r="I24" s="154"/>
      <c r="J24" s="280">
        <v>938247.29</v>
      </c>
      <c r="K24" s="281"/>
      <c r="L24" s="155">
        <v>40000</v>
      </c>
      <c r="M24" s="156">
        <v>75000</v>
      </c>
      <c r="N24" s="40"/>
      <c r="O24" s="40"/>
    </row>
    <row r="25" spans="1:16" s="13" customFormat="1" ht="19.5" customHeight="1" x14ac:dyDescent="0.35">
      <c r="A25" s="47" t="s">
        <v>24</v>
      </c>
      <c r="B25" s="240" t="s">
        <v>25</v>
      </c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2"/>
      <c r="N25" s="40"/>
    </row>
    <row r="26" spans="1:16" s="13" customFormat="1" ht="30.5" customHeight="1" thickBot="1" x14ac:dyDescent="0.4">
      <c r="A26" s="48" t="s">
        <v>26</v>
      </c>
      <c r="B26" s="263" t="s">
        <v>27</v>
      </c>
      <c r="C26" s="263"/>
      <c r="D26" s="263"/>
      <c r="E26" s="268" t="s">
        <v>101</v>
      </c>
      <c r="F26" s="269"/>
      <c r="G26" s="32">
        <v>125000</v>
      </c>
      <c r="H26" s="46">
        <f>G26/F55</f>
        <v>44.552479256365658</v>
      </c>
      <c r="I26" s="96">
        <f>H26/H54</f>
        <v>2.6206307795391206E-2</v>
      </c>
      <c r="J26" s="266"/>
      <c r="K26" s="267"/>
      <c r="L26" s="49">
        <v>91950</v>
      </c>
      <c r="M26" s="103">
        <f>G26-L26</f>
        <v>33050</v>
      </c>
      <c r="P26" s="115"/>
    </row>
    <row r="27" spans="1:16" s="13" customFormat="1" ht="21.75" customHeight="1" x14ac:dyDescent="0.35">
      <c r="A27" s="47" t="s">
        <v>28</v>
      </c>
      <c r="B27" s="240" t="s">
        <v>29</v>
      </c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2"/>
      <c r="N27" s="40"/>
      <c r="O27" s="117"/>
    </row>
    <row r="28" spans="1:16" s="13" customFormat="1" x14ac:dyDescent="0.35">
      <c r="A28" s="226" t="s">
        <v>30</v>
      </c>
      <c r="B28" s="262" t="s">
        <v>31</v>
      </c>
      <c r="C28" s="262"/>
      <c r="D28" s="262"/>
      <c r="E28" s="50" t="s">
        <v>32</v>
      </c>
      <c r="F28" s="50" t="s">
        <v>33</v>
      </c>
      <c r="G28" s="23"/>
      <c r="H28" s="20"/>
      <c r="I28" s="36"/>
      <c r="J28" s="224"/>
      <c r="K28" s="225"/>
      <c r="L28" s="23"/>
      <c r="M28" s="51"/>
    </row>
    <row r="29" spans="1:16" s="13" customFormat="1" ht="14" x14ac:dyDescent="0.35">
      <c r="A29" s="226"/>
      <c r="B29" s="262"/>
      <c r="C29" s="262"/>
      <c r="D29" s="262"/>
      <c r="E29" s="100">
        <v>40000</v>
      </c>
      <c r="F29" s="24">
        <v>12</v>
      </c>
      <c r="G29" s="91">
        <f t="shared" ref="G29:G32" si="0">E29*F29</f>
        <v>480000</v>
      </c>
      <c r="H29" s="20"/>
      <c r="I29" s="36"/>
      <c r="J29" s="224"/>
      <c r="K29" s="225"/>
      <c r="L29" s="23"/>
      <c r="M29" s="51"/>
    </row>
    <row r="30" spans="1:16" s="13" customFormat="1" ht="20" customHeight="1" x14ac:dyDescent="0.35">
      <c r="A30" s="35" t="s">
        <v>34</v>
      </c>
      <c r="B30" s="262" t="s">
        <v>35</v>
      </c>
      <c r="C30" s="262"/>
      <c r="D30" s="262"/>
      <c r="E30" s="100">
        <v>33000</v>
      </c>
      <c r="F30" s="24">
        <v>12</v>
      </c>
      <c r="G30" s="91">
        <f t="shared" si="0"/>
        <v>396000</v>
      </c>
      <c r="H30" s="20"/>
      <c r="I30" s="36"/>
      <c r="J30" s="224"/>
      <c r="K30" s="225"/>
      <c r="L30" s="23"/>
      <c r="M30" s="51"/>
    </row>
    <row r="31" spans="1:16" s="13" customFormat="1" ht="14" x14ac:dyDescent="0.35">
      <c r="A31" s="25" t="s">
        <v>36</v>
      </c>
      <c r="B31" s="262" t="s">
        <v>37</v>
      </c>
      <c r="C31" s="262"/>
      <c r="D31" s="262"/>
      <c r="E31" s="100">
        <v>16500</v>
      </c>
      <c r="F31" s="24">
        <v>12</v>
      </c>
      <c r="G31" s="91">
        <f t="shared" si="0"/>
        <v>198000</v>
      </c>
      <c r="H31" s="20"/>
      <c r="I31" s="36"/>
      <c r="J31" s="224"/>
      <c r="K31" s="225"/>
      <c r="L31" s="23"/>
      <c r="M31" s="51"/>
    </row>
    <row r="32" spans="1:16" s="13" customFormat="1" ht="19" customHeight="1" x14ac:dyDescent="0.35">
      <c r="A32" s="25" t="s">
        <v>38</v>
      </c>
      <c r="B32" s="262" t="s">
        <v>39</v>
      </c>
      <c r="C32" s="262"/>
      <c r="D32" s="262"/>
      <c r="E32" s="100">
        <v>16500</v>
      </c>
      <c r="F32" s="24">
        <v>6</v>
      </c>
      <c r="G32" s="91">
        <f t="shared" si="0"/>
        <v>99000</v>
      </c>
      <c r="H32" s="20"/>
      <c r="I32" s="36"/>
      <c r="J32" s="224"/>
      <c r="K32" s="225"/>
      <c r="L32" s="23"/>
      <c r="M32" s="51"/>
    </row>
    <row r="33" spans="1:14" s="13" customFormat="1" ht="14" customHeight="1" x14ac:dyDescent="0.35">
      <c r="A33" s="122" t="s">
        <v>40</v>
      </c>
      <c r="B33" s="262" t="s">
        <v>41</v>
      </c>
      <c r="C33" s="262"/>
      <c r="D33" s="262"/>
      <c r="E33" s="100">
        <v>18000</v>
      </c>
      <c r="F33" s="124">
        <v>12</v>
      </c>
      <c r="G33" s="125">
        <f t="shared" ref="G33" si="1">E33*F33</f>
        <v>216000</v>
      </c>
      <c r="H33" s="20"/>
      <c r="I33" s="36"/>
      <c r="J33" s="120"/>
      <c r="K33" s="121"/>
      <c r="L33" s="23"/>
      <c r="M33" s="51"/>
    </row>
    <row r="34" spans="1:14" s="13" customFormat="1" ht="14" x14ac:dyDescent="0.35">
      <c r="A34" s="247" t="s">
        <v>42</v>
      </c>
      <c r="B34" s="248"/>
      <c r="C34" s="248"/>
      <c r="D34" s="248"/>
      <c r="E34" s="248"/>
      <c r="F34" s="249"/>
      <c r="G34" s="52">
        <f>SUM(G29:G33)</f>
        <v>1389000</v>
      </c>
      <c r="H34" s="20"/>
      <c r="I34" s="36"/>
      <c r="J34" s="224"/>
      <c r="K34" s="225"/>
      <c r="L34" s="23"/>
      <c r="M34" s="51"/>
    </row>
    <row r="35" spans="1:14" s="13" customFormat="1" ht="15" customHeight="1" x14ac:dyDescent="0.35">
      <c r="A35" s="53" t="s">
        <v>43</v>
      </c>
      <c r="B35" s="250" t="s">
        <v>44</v>
      </c>
      <c r="C35" s="251"/>
      <c r="D35" s="252"/>
      <c r="E35" s="222"/>
      <c r="F35" s="223"/>
      <c r="G35" s="52">
        <f>G34*30.2%</f>
        <v>419478</v>
      </c>
      <c r="H35" s="20"/>
      <c r="I35" s="36"/>
      <c r="J35" s="224"/>
      <c r="K35" s="225"/>
      <c r="L35" s="54"/>
      <c r="M35" s="51"/>
    </row>
    <row r="36" spans="1:14" s="13" customFormat="1" ht="16" thickBot="1" x14ac:dyDescent="0.4">
      <c r="A36" s="55"/>
      <c r="B36" s="253" t="s">
        <v>45</v>
      </c>
      <c r="C36" s="254"/>
      <c r="D36" s="254"/>
      <c r="E36" s="254"/>
      <c r="F36" s="255"/>
      <c r="G36" s="32">
        <f>G34+G35</f>
        <v>1808478</v>
      </c>
      <c r="H36" s="94">
        <f>G36/F55</f>
        <v>644.57742864474926</v>
      </c>
      <c r="I36" s="96">
        <f>H36/H54</f>
        <v>0.37914824887354803</v>
      </c>
      <c r="J36" s="256"/>
      <c r="K36" s="257"/>
      <c r="L36" s="33">
        <v>1808478</v>
      </c>
      <c r="M36" s="103">
        <f>L36-G36</f>
        <v>0</v>
      </c>
    </row>
    <row r="37" spans="1:14" s="13" customFormat="1" ht="23.5" customHeight="1" thickBot="1" x14ac:dyDescent="0.4">
      <c r="A37" s="47" t="s">
        <v>46</v>
      </c>
      <c r="B37" s="260" t="s">
        <v>89</v>
      </c>
      <c r="C37" s="261"/>
      <c r="D37" s="261"/>
      <c r="E37" s="258" t="s">
        <v>97</v>
      </c>
      <c r="F37" s="259"/>
      <c r="G37" s="56">
        <v>77146</v>
      </c>
      <c r="H37" s="95">
        <f>G37/F55</f>
        <v>27.496364517692683</v>
      </c>
      <c r="I37" s="65">
        <f>H37/H54</f>
        <v>1.6173694569466001E-2</v>
      </c>
      <c r="J37" s="238"/>
      <c r="K37" s="239"/>
      <c r="L37" s="159">
        <v>77145</v>
      </c>
      <c r="M37" s="66">
        <f>G37-L37</f>
        <v>1</v>
      </c>
    </row>
    <row r="38" spans="1:14" s="13" customFormat="1" ht="15" customHeight="1" x14ac:dyDescent="0.35">
      <c r="A38" s="47" t="s">
        <v>47</v>
      </c>
      <c r="B38" s="240" t="s">
        <v>96</v>
      </c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2"/>
    </row>
    <row r="39" spans="1:14" s="13" customFormat="1" ht="24" customHeight="1" x14ac:dyDescent="0.35">
      <c r="A39" s="134" t="s">
        <v>48</v>
      </c>
      <c r="B39" s="235" t="s">
        <v>80</v>
      </c>
      <c r="C39" s="235"/>
      <c r="D39" s="235"/>
      <c r="E39" s="243" t="s">
        <v>87</v>
      </c>
      <c r="F39" s="244"/>
      <c r="G39" s="92">
        <v>80000</v>
      </c>
      <c r="H39" s="93">
        <f>G39/F55</f>
        <v>28.513586724074024</v>
      </c>
      <c r="I39" s="57">
        <f>H39/H54</f>
        <v>1.6772036989050373E-2</v>
      </c>
      <c r="J39" s="245">
        <f>538586+11953.5+14942.2+7471.1</f>
        <v>572952.79999999993</v>
      </c>
      <c r="K39" s="246"/>
      <c r="L39" s="118">
        <f>J39-468000</f>
        <v>104952.79999999993</v>
      </c>
      <c r="M39" s="132" t="s">
        <v>102</v>
      </c>
    </row>
    <row r="40" spans="1:14" s="13" customFormat="1" ht="28.5" customHeight="1" x14ac:dyDescent="0.35">
      <c r="A40" s="134" t="s">
        <v>49</v>
      </c>
      <c r="B40" s="232" t="s">
        <v>50</v>
      </c>
      <c r="C40" s="233"/>
      <c r="D40" s="234"/>
      <c r="E40" s="60"/>
      <c r="F40" s="61"/>
      <c r="G40" s="92">
        <v>28000</v>
      </c>
      <c r="H40" s="93">
        <f>G40/F55</f>
        <v>9.979755353425908</v>
      </c>
      <c r="I40" s="57">
        <f>H40/H54</f>
        <v>5.8702129461676309E-3</v>
      </c>
      <c r="J40" s="136"/>
      <c r="K40" s="137"/>
      <c r="L40" s="160">
        <v>18421</v>
      </c>
      <c r="M40" s="59"/>
    </row>
    <row r="41" spans="1:14" s="13" customFormat="1" ht="37.5" customHeight="1" x14ac:dyDescent="0.35">
      <c r="A41" s="134" t="s">
        <v>51</v>
      </c>
      <c r="B41" s="232" t="s">
        <v>79</v>
      </c>
      <c r="C41" s="233"/>
      <c r="D41" s="234"/>
      <c r="E41" s="60" t="s">
        <v>103</v>
      </c>
      <c r="F41" s="61"/>
      <c r="G41" s="92">
        <v>40000</v>
      </c>
      <c r="H41" s="93">
        <f>G41/F55</f>
        <v>14.256793362037012</v>
      </c>
      <c r="I41" s="62">
        <f>H41/H54</f>
        <v>8.3860184945251867E-3</v>
      </c>
      <c r="J41" s="136"/>
      <c r="K41" s="137"/>
      <c r="L41" s="58">
        <f>10261.45+28392+13448.5+4693.68</f>
        <v>56795.63</v>
      </c>
      <c r="M41" s="59"/>
    </row>
    <row r="42" spans="1:14" s="13" customFormat="1" ht="23" customHeight="1" x14ac:dyDescent="0.35">
      <c r="A42" s="134" t="s">
        <v>52</v>
      </c>
      <c r="B42" s="232" t="s">
        <v>95</v>
      </c>
      <c r="C42" s="233"/>
      <c r="D42" s="234"/>
      <c r="E42" s="60"/>
      <c r="F42" s="61"/>
      <c r="G42" s="92">
        <v>40000</v>
      </c>
      <c r="H42" s="93">
        <f>G42/F55</f>
        <v>14.256793362037012</v>
      </c>
      <c r="I42" s="62">
        <f>H42/H54</f>
        <v>8.3860184945251867E-3</v>
      </c>
      <c r="J42" s="136"/>
      <c r="K42" s="137"/>
      <c r="L42" s="108">
        <f>26900+2646.56</f>
        <v>29546.560000000001</v>
      </c>
      <c r="M42" s="59"/>
    </row>
    <row r="43" spans="1:14" s="13" customFormat="1" ht="24.5" customHeight="1" x14ac:dyDescent="0.35">
      <c r="A43" s="134" t="s">
        <v>53</v>
      </c>
      <c r="B43" s="232" t="s">
        <v>54</v>
      </c>
      <c r="C43" s="233"/>
      <c r="D43" s="234"/>
      <c r="E43" s="60"/>
      <c r="F43" s="61"/>
      <c r="G43" s="92">
        <v>15000</v>
      </c>
      <c r="H43" s="93">
        <f>G43/F55</f>
        <v>5.346297510763879</v>
      </c>
      <c r="I43" s="62">
        <f>H43/H54</f>
        <v>3.144756935446945E-3</v>
      </c>
      <c r="J43" s="136"/>
      <c r="K43" s="137"/>
      <c r="L43" s="58">
        <f>9100+1350</f>
        <v>10450</v>
      </c>
      <c r="M43" s="59"/>
    </row>
    <row r="44" spans="1:14" s="13" customFormat="1" ht="26" customHeight="1" x14ac:dyDescent="0.35">
      <c r="A44" s="134" t="s">
        <v>55</v>
      </c>
      <c r="B44" s="232" t="s">
        <v>56</v>
      </c>
      <c r="C44" s="233"/>
      <c r="D44" s="234"/>
      <c r="E44" s="60" t="s">
        <v>104</v>
      </c>
      <c r="F44" s="61" t="s">
        <v>105</v>
      </c>
      <c r="G44" s="92">
        <v>90000</v>
      </c>
      <c r="H44" s="141">
        <f>G44/F55</f>
        <v>32.077785064583274</v>
      </c>
      <c r="I44" s="142">
        <f>H44/H54</f>
        <v>1.8868541612681668E-2</v>
      </c>
      <c r="J44" s="136"/>
      <c r="K44" s="137"/>
      <c r="L44" s="58">
        <f>75000+14942.2+7471.1</f>
        <v>97413.3</v>
      </c>
      <c r="M44" s="59"/>
      <c r="N44" s="112"/>
    </row>
    <row r="45" spans="1:14" s="13" customFormat="1" ht="14" x14ac:dyDescent="0.35">
      <c r="A45" s="134" t="s">
        <v>57</v>
      </c>
      <c r="B45" s="235" t="s">
        <v>58</v>
      </c>
      <c r="C45" s="235"/>
      <c r="D45" s="235"/>
      <c r="E45" s="222"/>
      <c r="F45" s="223"/>
      <c r="G45" s="140">
        <v>30000</v>
      </c>
      <c r="H45" s="141">
        <f>G45/F55</f>
        <v>10.692595021527758</v>
      </c>
      <c r="I45" s="142">
        <f>H45/H54</f>
        <v>6.28951387089389E-3</v>
      </c>
      <c r="J45" s="224"/>
      <c r="K45" s="225"/>
      <c r="L45" s="148">
        <v>17551.7</v>
      </c>
      <c r="M45" s="39"/>
    </row>
    <row r="46" spans="1:14" s="13" customFormat="1" ht="14.5" x14ac:dyDescent="0.35">
      <c r="A46" s="134" t="s">
        <v>73</v>
      </c>
      <c r="B46" s="232" t="s">
        <v>59</v>
      </c>
      <c r="C46" s="236"/>
      <c r="D46" s="237"/>
      <c r="E46" s="138"/>
      <c r="F46" s="139"/>
      <c r="G46" s="140">
        <v>35000</v>
      </c>
      <c r="H46" s="141">
        <f>G46/F55</f>
        <v>12.474694191782385</v>
      </c>
      <c r="I46" s="142">
        <f>H46/H54</f>
        <v>7.3377661827095384E-3</v>
      </c>
      <c r="J46" s="82"/>
      <c r="K46" s="83"/>
      <c r="L46" s="147">
        <v>23918</v>
      </c>
      <c r="M46" s="135"/>
    </row>
    <row r="47" spans="1:14" s="13" customFormat="1" x14ac:dyDescent="0.35">
      <c r="A47" s="226" t="s">
        <v>74</v>
      </c>
      <c r="B47" s="185" t="s">
        <v>76</v>
      </c>
      <c r="C47" s="186"/>
      <c r="D47" s="187"/>
      <c r="E47" s="227"/>
      <c r="F47" s="228"/>
      <c r="G47" s="229">
        <v>40000</v>
      </c>
      <c r="H47" s="230">
        <f>G47/F55</f>
        <v>14.256793362037012</v>
      </c>
      <c r="I47" s="231">
        <f>H47/H54</f>
        <v>8.3860184945251867E-3</v>
      </c>
      <c r="J47" s="191"/>
      <c r="K47" s="192"/>
      <c r="L47" s="195">
        <v>34450.5</v>
      </c>
      <c r="M47" s="197"/>
    </row>
    <row r="48" spans="1:14" s="13" customFormat="1" ht="6" customHeight="1" x14ac:dyDescent="0.35">
      <c r="A48" s="226"/>
      <c r="B48" s="188"/>
      <c r="C48" s="189"/>
      <c r="D48" s="190"/>
      <c r="E48" s="205"/>
      <c r="F48" s="206"/>
      <c r="G48" s="229"/>
      <c r="H48" s="230"/>
      <c r="I48" s="231"/>
      <c r="J48" s="193"/>
      <c r="K48" s="194"/>
      <c r="L48" s="196"/>
      <c r="M48" s="198"/>
    </row>
    <row r="49" spans="1:14" s="13" customFormat="1" ht="20" customHeight="1" x14ac:dyDescent="0.35">
      <c r="A49" s="134" t="s">
        <v>82</v>
      </c>
      <c r="B49" s="213" t="s">
        <v>84</v>
      </c>
      <c r="C49" s="214"/>
      <c r="D49" s="215"/>
      <c r="E49" s="212" t="s">
        <v>88</v>
      </c>
      <c r="F49" s="196"/>
      <c r="G49" s="92">
        <f>9685*12</f>
        <v>116220</v>
      </c>
      <c r="H49" s="93">
        <f>G49/F55</f>
        <v>41.423113113398536</v>
      </c>
      <c r="I49" s="57">
        <f>H49/H54</f>
        <v>2.4365576735842928E-2</v>
      </c>
      <c r="J49" s="210"/>
      <c r="K49" s="211"/>
      <c r="L49" s="158">
        <v>116220</v>
      </c>
      <c r="M49" s="123"/>
    </row>
    <row r="50" spans="1:14" s="13" customFormat="1" ht="19" customHeight="1" x14ac:dyDescent="0.35">
      <c r="A50" s="134" t="s">
        <v>83</v>
      </c>
      <c r="B50" s="209" t="s">
        <v>77</v>
      </c>
      <c r="C50" s="209"/>
      <c r="D50" s="209"/>
      <c r="E50" s="104"/>
      <c r="F50" s="105"/>
      <c r="G50" s="92">
        <v>15000</v>
      </c>
      <c r="H50" s="93">
        <f>G50/F55</f>
        <v>5.346297510763879</v>
      </c>
      <c r="I50" s="57">
        <f>H50/H54</f>
        <v>3.144756935446945E-3</v>
      </c>
      <c r="J50" s="106"/>
      <c r="K50" s="107"/>
      <c r="L50" s="162">
        <f>11002.19+2619+11022</f>
        <v>24643.190000000002</v>
      </c>
      <c r="M50" s="119"/>
      <c r="N50" s="112"/>
    </row>
    <row r="51" spans="1:14" s="13" customFormat="1" ht="16" thickBot="1" x14ac:dyDescent="0.4">
      <c r="A51" s="199" t="s">
        <v>98</v>
      </c>
      <c r="B51" s="200"/>
      <c r="C51" s="200"/>
      <c r="D51" s="200"/>
      <c r="E51" s="200"/>
      <c r="F51" s="201"/>
      <c r="G51" s="32">
        <f>G39+G45+G47+G40+G41+G42+G43+G44+G46+G50+G49</f>
        <v>529220</v>
      </c>
      <c r="H51" s="63"/>
      <c r="I51" s="64"/>
      <c r="J51" s="202">
        <f>G51/G54</f>
        <v>0.1109512176918155</v>
      </c>
      <c r="K51" s="203"/>
      <c r="L51" s="32">
        <f>L39+L45+L47+L40+L41+L42+L43+L44+L46+L50+L49</f>
        <v>534362.67999999993</v>
      </c>
      <c r="M51" s="163">
        <f>G51-L51</f>
        <v>-5142.6799999999348</v>
      </c>
    </row>
    <row r="52" spans="1:14" s="13" customFormat="1" ht="16" thickBot="1" x14ac:dyDescent="0.4">
      <c r="A52" s="143" t="s">
        <v>60</v>
      </c>
      <c r="B52" s="216" t="s">
        <v>92</v>
      </c>
      <c r="C52" s="217"/>
      <c r="D52" s="217"/>
      <c r="E52" s="218" t="s">
        <v>100</v>
      </c>
      <c r="F52" s="219"/>
      <c r="G52" s="126">
        <v>100000</v>
      </c>
      <c r="H52" s="130">
        <f>G52/F55</f>
        <v>35.641983405092532</v>
      </c>
      <c r="I52" s="131">
        <f>H52/H54</f>
        <v>2.096504623631297E-2</v>
      </c>
      <c r="J52" s="220" t="s">
        <v>112</v>
      </c>
      <c r="K52" s="221"/>
      <c r="L52" s="127">
        <f>34566.67+11960+13447.2+16228+17980+1854</f>
        <v>96035.87</v>
      </c>
      <c r="M52" s="128">
        <f>G52-L52</f>
        <v>3964.1300000000047</v>
      </c>
    </row>
    <row r="53" spans="1:14" s="13" customFormat="1" ht="16" thickBot="1" x14ac:dyDescent="0.4">
      <c r="A53" s="47" t="s">
        <v>91</v>
      </c>
      <c r="B53" s="204" t="s">
        <v>61</v>
      </c>
      <c r="C53" s="204"/>
      <c r="D53" s="204"/>
      <c r="E53" s="205"/>
      <c r="F53" s="206"/>
      <c r="G53" s="129">
        <v>100000</v>
      </c>
      <c r="H53" s="99">
        <f>G53/F55</f>
        <v>35.641983405092532</v>
      </c>
      <c r="I53" s="65">
        <f>H53/H54</f>
        <v>2.096504623631297E-2</v>
      </c>
      <c r="J53" s="207"/>
      <c r="K53" s="208"/>
      <c r="L53" s="110">
        <f>29927+89700</f>
        <v>119627</v>
      </c>
      <c r="M53" s="161">
        <f>G53-L53</f>
        <v>-19627</v>
      </c>
    </row>
    <row r="54" spans="1:14" s="13" customFormat="1" ht="18.5" thickBot="1" x14ac:dyDescent="0.4">
      <c r="A54" s="179" t="s">
        <v>62</v>
      </c>
      <c r="B54" s="180"/>
      <c r="C54" s="180"/>
      <c r="D54" s="180"/>
      <c r="E54" s="180"/>
      <c r="F54" s="181"/>
      <c r="G54" s="67">
        <f>G7+G13+G53+G51+G37+G36+G26+G23+G21+G52</f>
        <v>4769844</v>
      </c>
      <c r="H54" s="68">
        <f>SUM(H7:H53)</f>
        <v>1700.0670069288019</v>
      </c>
      <c r="I54" s="69">
        <f>SUM(I7:I53)</f>
        <v>1</v>
      </c>
      <c r="J54" s="182"/>
      <c r="K54" s="183"/>
      <c r="L54" s="157">
        <f>L7+L13+L53+L51+L37+L36+L26+L23+L21+L52</f>
        <v>4661387.3499999996</v>
      </c>
      <c r="M54" s="70">
        <f>G54-L54</f>
        <v>108456.65000000037</v>
      </c>
    </row>
    <row r="55" spans="1:14" ht="13" x14ac:dyDescent="0.3">
      <c r="D55" s="5" t="s">
        <v>63</v>
      </c>
      <c r="F55" s="146">
        <v>2805.68</v>
      </c>
      <c r="G55" s="145" t="s">
        <v>106</v>
      </c>
      <c r="K55" s="74"/>
      <c r="L55" s="75"/>
      <c r="M55" s="76"/>
    </row>
    <row r="56" spans="1:14" ht="15.5" x14ac:dyDescent="0.35">
      <c r="E56" s="184" t="s">
        <v>64</v>
      </c>
      <c r="F56" s="184"/>
      <c r="G56" s="77">
        <f>ROUND(G54/F55,0)</f>
        <v>1700</v>
      </c>
      <c r="H56" s="78" t="s">
        <v>65</v>
      </c>
      <c r="L56" s="75"/>
      <c r="M56" s="76">
        <f>M7+M13+M21+M23+M26+M37+M51+M52+M53</f>
        <v>108456.65000000005</v>
      </c>
    </row>
    <row r="57" spans="1:14" ht="15.5" x14ac:dyDescent="0.35">
      <c r="G57" s="77"/>
      <c r="K57" s="79"/>
      <c r="L57" s="80"/>
      <c r="M57" s="80"/>
    </row>
    <row r="58" spans="1:14" ht="14" x14ac:dyDescent="0.3">
      <c r="B58" s="81"/>
    </row>
    <row r="123" spans="6:6" ht="14.5" x14ac:dyDescent="0.35">
      <c r="F123" s="144"/>
    </row>
  </sheetData>
  <mergeCells count="115">
    <mergeCell ref="A3:M3"/>
    <mergeCell ref="B5:D5"/>
    <mergeCell ref="E5:F5"/>
    <mergeCell ref="J5:K5"/>
    <mergeCell ref="B6:M6"/>
    <mergeCell ref="B7:D7"/>
    <mergeCell ref="E7:F7"/>
    <mergeCell ref="J7:K7"/>
    <mergeCell ref="A1:D1"/>
    <mergeCell ref="B11:D11"/>
    <mergeCell ref="E11:F11"/>
    <mergeCell ref="J11:K11"/>
    <mergeCell ref="B8:D8"/>
    <mergeCell ref="E8:F8"/>
    <mergeCell ref="J8:K8"/>
    <mergeCell ref="B9:M9"/>
    <mergeCell ref="B10:D10"/>
    <mergeCell ref="E10:F10"/>
    <mergeCell ref="J10:K10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B22:M22"/>
    <mergeCell ref="B23:D23"/>
    <mergeCell ref="E23:F23"/>
    <mergeCell ref="J23:K23"/>
    <mergeCell ref="B25:M25"/>
    <mergeCell ref="B26:D26"/>
    <mergeCell ref="E26:F26"/>
    <mergeCell ref="J26:K26"/>
    <mergeCell ref="L18:L19"/>
    <mergeCell ref="M18:M19"/>
    <mergeCell ref="B20:D20"/>
    <mergeCell ref="E20:F20"/>
    <mergeCell ref="A21:F21"/>
    <mergeCell ref="J21:K21"/>
    <mergeCell ref="J24:K24"/>
    <mergeCell ref="B31:D31"/>
    <mergeCell ref="J31:K31"/>
    <mergeCell ref="B32:D32"/>
    <mergeCell ref="J32:K32"/>
    <mergeCell ref="B33:D33"/>
    <mergeCell ref="B27:M27"/>
    <mergeCell ref="A28:A29"/>
    <mergeCell ref="B28:D29"/>
    <mergeCell ref="J28:K28"/>
    <mergeCell ref="J29:K29"/>
    <mergeCell ref="B30:D30"/>
    <mergeCell ref="J30:K30"/>
    <mergeCell ref="J37:K37"/>
    <mergeCell ref="B38:M38"/>
    <mergeCell ref="B39:D39"/>
    <mergeCell ref="E39:F39"/>
    <mergeCell ref="J39:K39"/>
    <mergeCell ref="A34:F34"/>
    <mergeCell ref="J34:K34"/>
    <mergeCell ref="B35:D35"/>
    <mergeCell ref="E35:F35"/>
    <mergeCell ref="J35:K35"/>
    <mergeCell ref="B36:F36"/>
    <mergeCell ref="J36:K36"/>
    <mergeCell ref="E37:F37"/>
    <mergeCell ref="B37:D37"/>
    <mergeCell ref="E45:F45"/>
    <mergeCell ref="J45:K45"/>
    <mergeCell ref="A47:A48"/>
    <mergeCell ref="E47:F48"/>
    <mergeCell ref="G47:G48"/>
    <mergeCell ref="H47:H48"/>
    <mergeCell ref="I47:I48"/>
    <mergeCell ref="B40:D40"/>
    <mergeCell ref="B41:D41"/>
    <mergeCell ref="B42:D42"/>
    <mergeCell ref="B43:D43"/>
    <mergeCell ref="B44:D44"/>
    <mergeCell ref="B45:D45"/>
    <mergeCell ref="B46:D46"/>
    <mergeCell ref="A54:F54"/>
    <mergeCell ref="J54:K54"/>
    <mergeCell ref="E56:F56"/>
    <mergeCell ref="B47:D48"/>
    <mergeCell ref="J47:K48"/>
    <mergeCell ref="L47:L48"/>
    <mergeCell ref="M47:M48"/>
    <mergeCell ref="A51:F51"/>
    <mergeCell ref="J51:K51"/>
    <mergeCell ref="B53:D53"/>
    <mergeCell ref="E53:F53"/>
    <mergeCell ref="J53:K53"/>
    <mergeCell ref="B50:D50"/>
    <mergeCell ref="J49:K49"/>
    <mergeCell ref="E49:F49"/>
    <mergeCell ref="B49:D49"/>
    <mergeCell ref="B52:D52"/>
    <mergeCell ref="E52:F52"/>
    <mergeCell ref="J52:K52"/>
  </mergeCells>
  <pageMargins left="0" right="0" top="0.39370078740157483" bottom="0" header="0.11811023622047245" footer="0.11811023622047245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workbookViewId="0">
      <selection activeCell="L46" sqref="L46"/>
    </sheetView>
  </sheetViews>
  <sheetFormatPr defaultColWidth="10.1796875" defaultRowHeight="12.5" x14ac:dyDescent="0.25"/>
  <cols>
    <col min="1" max="1" width="5.81640625" style="71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72" customWidth="1"/>
    <col min="6" max="6" width="7.81640625" style="72" customWidth="1"/>
    <col min="7" max="7" width="17.90625" style="73" customWidth="1"/>
    <col min="8" max="8" width="11" style="72" customWidth="1"/>
    <col min="9" max="9" width="6.81640625" style="72" customWidth="1"/>
    <col min="10" max="10" width="6.453125" style="72" customWidth="1"/>
    <col min="11" max="11" width="5.26953125" style="72" customWidth="1"/>
    <col min="12" max="12" width="14.1796875" style="73" customWidth="1"/>
    <col min="13" max="13" width="13.54296875" style="73" customWidth="1"/>
    <col min="14" max="14" width="6.81640625" style="5" customWidth="1"/>
    <col min="15" max="15" width="11.08984375" style="5" bestFit="1" customWidth="1"/>
    <col min="16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316" t="s">
        <v>0</v>
      </c>
      <c r="B1" s="316"/>
      <c r="C1" s="316"/>
      <c r="D1" s="316"/>
      <c r="E1" s="1"/>
      <c r="F1" s="1"/>
      <c r="G1" s="2"/>
      <c r="I1" s="3"/>
      <c r="J1" s="114" t="s">
        <v>108</v>
      </c>
      <c r="K1" s="85"/>
      <c r="L1" s="85"/>
      <c r="M1" s="85"/>
      <c r="N1" s="4"/>
    </row>
    <row r="2" spans="1:14" ht="11" customHeight="1" x14ac:dyDescent="0.35">
      <c r="A2" s="178"/>
      <c r="B2" s="178"/>
      <c r="C2" s="178"/>
      <c r="D2" s="178"/>
      <c r="E2" s="133"/>
      <c r="F2" s="1"/>
      <c r="G2" s="2"/>
      <c r="I2" s="3"/>
      <c r="J2" s="101"/>
      <c r="K2" s="85"/>
      <c r="L2" s="85"/>
      <c r="M2" s="85"/>
      <c r="N2" s="4"/>
    </row>
    <row r="3" spans="1:14" ht="18" x14ac:dyDescent="0.25">
      <c r="A3" s="311" t="s">
        <v>107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4"/>
    </row>
    <row r="4" spans="1:14" ht="13.5" thickBot="1" x14ac:dyDescent="0.35">
      <c r="A4" s="6"/>
      <c r="B4" s="4"/>
      <c r="C4" s="4"/>
      <c r="D4" s="4"/>
      <c r="E4" s="1"/>
      <c r="F4" s="1"/>
      <c r="G4" s="2"/>
      <c r="H4" s="3"/>
      <c r="I4" s="3"/>
      <c r="J4" s="1"/>
      <c r="K4" s="1"/>
      <c r="L4" s="7"/>
      <c r="M4" s="2"/>
      <c r="N4" s="4"/>
    </row>
    <row r="5" spans="1:14" s="11" customFormat="1" ht="50.5" thickBot="1" x14ac:dyDescent="0.4">
      <c r="A5" s="8" t="s">
        <v>1</v>
      </c>
      <c r="B5" s="312" t="s">
        <v>2</v>
      </c>
      <c r="C5" s="312"/>
      <c r="D5" s="312"/>
      <c r="E5" s="313" t="s">
        <v>3</v>
      </c>
      <c r="F5" s="313"/>
      <c r="G5" s="9" t="s">
        <v>75</v>
      </c>
      <c r="H5" s="86" t="s">
        <v>4</v>
      </c>
      <c r="I5" s="86" t="s">
        <v>5</v>
      </c>
      <c r="J5" s="313" t="s">
        <v>111</v>
      </c>
      <c r="K5" s="313"/>
      <c r="L5" s="87" t="s">
        <v>94</v>
      </c>
      <c r="M5" s="88" t="s">
        <v>70</v>
      </c>
      <c r="N5" s="10"/>
    </row>
    <row r="6" spans="1:14" s="13" customFormat="1" ht="22.5" customHeight="1" x14ac:dyDescent="0.35">
      <c r="A6" s="12" t="s">
        <v>6</v>
      </c>
      <c r="B6" s="240" t="s">
        <v>7</v>
      </c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2"/>
    </row>
    <row r="7" spans="1:14" s="13" customFormat="1" ht="28.5" customHeight="1" x14ac:dyDescent="0.25">
      <c r="A7" s="14" t="s">
        <v>8</v>
      </c>
      <c r="B7" s="262" t="s">
        <v>69</v>
      </c>
      <c r="C7" s="262"/>
      <c r="D7" s="262"/>
      <c r="E7" s="314"/>
      <c r="F7" s="315"/>
      <c r="G7" s="15">
        <v>470000</v>
      </c>
      <c r="H7" s="98">
        <f>G7/F55</f>
        <v>167.51732200393488</v>
      </c>
      <c r="I7" s="97">
        <f>H7/H54</f>
        <v>9.8535717310670942E-2</v>
      </c>
      <c r="J7" s="299"/>
      <c r="K7" s="300"/>
      <c r="L7" s="16">
        <v>467471.1</v>
      </c>
      <c r="M7" s="111">
        <f>G7-L7</f>
        <v>2528.9000000000233</v>
      </c>
    </row>
    <row r="8" spans="1:14" s="13" customFormat="1" ht="2.5" customHeight="1" thickBot="1" x14ac:dyDescent="0.4">
      <c r="A8" s="18"/>
      <c r="B8" s="262"/>
      <c r="C8" s="262"/>
      <c r="D8" s="262"/>
      <c r="E8" s="222"/>
      <c r="F8" s="223"/>
      <c r="G8" s="19"/>
      <c r="H8" s="20"/>
      <c r="I8" s="20"/>
      <c r="J8" s="299"/>
      <c r="K8" s="300"/>
      <c r="L8" s="16"/>
      <c r="M8" s="17"/>
    </row>
    <row r="9" spans="1:14" s="13" customFormat="1" ht="16.5" customHeight="1" x14ac:dyDescent="0.35">
      <c r="A9" s="21" t="s">
        <v>9</v>
      </c>
      <c r="B9" s="240" t="s">
        <v>72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2"/>
    </row>
    <row r="10" spans="1:14" s="13" customFormat="1" ht="29.5" customHeight="1" x14ac:dyDescent="0.35">
      <c r="A10" s="14" t="s">
        <v>71</v>
      </c>
      <c r="B10" s="262" t="s">
        <v>93</v>
      </c>
      <c r="C10" s="262"/>
      <c r="D10" s="262"/>
      <c r="E10" s="299" t="s">
        <v>10</v>
      </c>
      <c r="F10" s="300"/>
      <c r="G10" s="23">
        <v>200000</v>
      </c>
      <c r="H10" s="166"/>
      <c r="I10" s="166"/>
      <c r="J10" s="309" t="s">
        <v>110</v>
      </c>
      <c r="K10" s="310"/>
      <c r="L10" s="16">
        <f>207042.78+8229.9</f>
        <v>215272.68</v>
      </c>
      <c r="M10" s="17"/>
    </row>
    <row r="11" spans="1:14" s="13" customFormat="1" ht="43" customHeight="1" x14ac:dyDescent="0.35">
      <c r="A11" s="122" t="s">
        <v>78</v>
      </c>
      <c r="B11" s="262" t="s">
        <v>99</v>
      </c>
      <c r="C11" s="262"/>
      <c r="D11" s="262"/>
      <c r="E11" s="276"/>
      <c r="F11" s="277"/>
      <c r="G11" s="89">
        <v>45000</v>
      </c>
      <c r="H11" s="20"/>
      <c r="I11" s="20"/>
      <c r="J11" s="299"/>
      <c r="K11" s="300"/>
      <c r="L11" s="16">
        <f>42753.2+633.33</f>
        <v>43386.53</v>
      </c>
      <c r="M11" s="111"/>
    </row>
    <row r="12" spans="1:14" s="13" customFormat="1" ht="4" customHeight="1" x14ac:dyDescent="0.35">
      <c r="A12" s="27"/>
      <c r="B12" s="301"/>
      <c r="C12" s="302"/>
      <c r="D12" s="303"/>
      <c r="E12" s="205"/>
      <c r="F12" s="206"/>
      <c r="G12" s="28"/>
      <c r="H12" s="177"/>
      <c r="I12" s="177"/>
      <c r="J12" s="304"/>
      <c r="K12" s="305"/>
      <c r="L12" s="30"/>
      <c r="M12" s="31"/>
    </row>
    <row r="13" spans="1:14" s="13" customFormat="1" ht="16" thickBot="1" x14ac:dyDescent="0.4">
      <c r="A13" s="278" t="s">
        <v>11</v>
      </c>
      <c r="B13" s="279"/>
      <c r="C13" s="279"/>
      <c r="D13" s="279"/>
      <c r="E13" s="279"/>
      <c r="F13" s="265"/>
      <c r="G13" s="32">
        <f>SUM(G10:G12)</f>
        <v>245000</v>
      </c>
      <c r="H13" s="94">
        <f>G13/F55</f>
        <v>87.32285934247669</v>
      </c>
      <c r="I13" s="96">
        <f>H13/H54</f>
        <v>5.1364363278966763E-2</v>
      </c>
      <c r="J13" s="256"/>
      <c r="K13" s="257"/>
      <c r="L13" s="33">
        <f>L10+L11</f>
        <v>258659.21</v>
      </c>
      <c r="M13" s="34">
        <f>G13-L13</f>
        <v>-13659.209999999992</v>
      </c>
    </row>
    <row r="14" spans="1:14" s="13" customFormat="1" ht="22.5" customHeight="1" x14ac:dyDescent="0.35">
      <c r="A14" s="22" t="s">
        <v>12</v>
      </c>
      <c r="B14" s="306" t="s">
        <v>13</v>
      </c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8"/>
    </row>
    <row r="15" spans="1:14" s="38" customFormat="1" ht="25.5" customHeight="1" x14ac:dyDescent="0.35">
      <c r="A15" s="169" t="s">
        <v>14</v>
      </c>
      <c r="B15" s="262" t="s">
        <v>66</v>
      </c>
      <c r="C15" s="262"/>
      <c r="D15" s="262"/>
      <c r="E15" s="222"/>
      <c r="F15" s="223"/>
      <c r="G15" s="89">
        <v>40000</v>
      </c>
      <c r="H15" s="20"/>
      <c r="I15" s="36"/>
      <c r="J15" s="224"/>
      <c r="K15" s="225"/>
      <c r="L15" s="164">
        <f>29885.7+5470</f>
        <v>35355.699999999997</v>
      </c>
      <c r="M15" s="37"/>
    </row>
    <row r="16" spans="1:14" s="13" customFormat="1" ht="24" customHeight="1" x14ac:dyDescent="0.35">
      <c r="A16" s="169" t="s">
        <v>15</v>
      </c>
      <c r="B16" s="262" t="s">
        <v>16</v>
      </c>
      <c r="C16" s="262"/>
      <c r="D16" s="262"/>
      <c r="E16" s="299" t="s">
        <v>10</v>
      </c>
      <c r="F16" s="300"/>
      <c r="G16" s="89">
        <v>95000</v>
      </c>
      <c r="H16" s="20"/>
      <c r="I16" s="36"/>
      <c r="J16" s="224"/>
      <c r="K16" s="225"/>
      <c r="L16" s="116">
        <v>78710</v>
      </c>
      <c r="M16" s="39"/>
    </row>
    <row r="17" spans="1:16" s="13" customFormat="1" ht="31" customHeight="1" x14ac:dyDescent="0.35">
      <c r="A17" s="169" t="s">
        <v>17</v>
      </c>
      <c r="B17" s="262" t="s">
        <v>67</v>
      </c>
      <c r="C17" s="262"/>
      <c r="D17" s="262"/>
      <c r="E17" s="276"/>
      <c r="F17" s="277"/>
      <c r="G17" s="89">
        <v>30000</v>
      </c>
      <c r="H17" s="20"/>
      <c r="I17" s="36"/>
      <c r="J17" s="282" t="s">
        <v>109</v>
      </c>
      <c r="K17" s="283"/>
      <c r="L17" s="164">
        <v>40345.5</v>
      </c>
      <c r="M17" s="37"/>
      <c r="N17" s="40"/>
      <c r="O17" s="40"/>
    </row>
    <row r="18" spans="1:16" s="13" customFormat="1" x14ac:dyDescent="0.35">
      <c r="A18" s="226" t="s">
        <v>18</v>
      </c>
      <c r="B18" s="284" t="s">
        <v>19</v>
      </c>
      <c r="C18" s="284"/>
      <c r="D18" s="284"/>
      <c r="E18" s="285" t="s">
        <v>81</v>
      </c>
      <c r="F18" s="286"/>
      <c r="G18" s="289" t="s">
        <v>68</v>
      </c>
      <c r="H18" s="291"/>
      <c r="I18" s="293"/>
      <c r="J18" s="295"/>
      <c r="K18" s="296"/>
      <c r="L18" s="270"/>
      <c r="M18" s="197" t="s">
        <v>85</v>
      </c>
      <c r="N18" s="40"/>
      <c r="O18" s="40"/>
    </row>
    <row r="19" spans="1:16" s="13" customFormat="1" x14ac:dyDescent="0.35">
      <c r="A19" s="226"/>
      <c r="B19" s="284"/>
      <c r="C19" s="284"/>
      <c r="D19" s="284"/>
      <c r="E19" s="287"/>
      <c r="F19" s="288"/>
      <c r="G19" s="290"/>
      <c r="H19" s="292"/>
      <c r="I19" s="294"/>
      <c r="J19" s="297"/>
      <c r="K19" s="298"/>
      <c r="L19" s="271"/>
      <c r="M19" s="272"/>
      <c r="N19" s="40"/>
      <c r="O19" s="40"/>
    </row>
    <row r="20" spans="1:16" s="13" customFormat="1" ht="6.5" customHeight="1" x14ac:dyDescent="0.3">
      <c r="A20" s="41"/>
      <c r="B20" s="273"/>
      <c r="C20" s="274"/>
      <c r="D20" s="275"/>
      <c r="E20" s="276"/>
      <c r="F20" s="277"/>
      <c r="G20" s="90"/>
      <c r="H20" s="42"/>
      <c r="I20" s="43"/>
      <c r="J20" s="44"/>
      <c r="K20" s="84"/>
      <c r="L20" s="176"/>
      <c r="M20" s="109"/>
      <c r="N20" s="40"/>
      <c r="O20" s="40"/>
    </row>
    <row r="21" spans="1:16" s="13" customFormat="1" ht="16" thickBot="1" x14ac:dyDescent="0.4">
      <c r="A21" s="278" t="s">
        <v>11</v>
      </c>
      <c r="B21" s="279"/>
      <c r="C21" s="279"/>
      <c r="D21" s="279"/>
      <c r="E21" s="279"/>
      <c r="F21" s="265"/>
      <c r="G21" s="32">
        <f>G15+G16+G17+G20</f>
        <v>165000</v>
      </c>
      <c r="H21" s="46">
        <f>G21/F55</f>
        <v>58.809272618402673</v>
      </c>
      <c r="I21" s="96">
        <f>H21/H54</f>
        <v>3.4592326289916396E-2</v>
      </c>
      <c r="J21" s="256"/>
      <c r="K21" s="257"/>
      <c r="L21" s="32">
        <f>L15+L16+L17</f>
        <v>154411.20000000001</v>
      </c>
      <c r="M21" s="102">
        <f>G21-L21</f>
        <v>10588.799999999988</v>
      </c>
      <c r="N21" s="40"/>
      <c r="O21" s="40"/>
    </row>
    <row r="22" spans="1:16" s="13" customFormat="1" ht="17" customHeight="1" x14ac:dyDescent="0.35">
      <c r="A22" s="47" t="s">
        <v>20</v>
      </c>
      <c r="B22" s="240" t="s">
        <v>21</v>
      </c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2"/>
      <c r="N22" s="40"/>
      <c r="O22" s="40"/>
    </row>
    <row r="23" spans="1:16" s="13" customFormat="1" ht="28" customHeight="1" thickBot="1" x14ac:dyDescent="0.4">
      <c r="A23" s="48" t="s">
        <v>22</v>
      </c>
      <c r="B23" s="263" t="s">
        <v>23</v>
      </c>
      <c r="C23" s="263"/>
      <c r="D23" s="263"/>
      <c r="E23" s="264" t="s">
        <v>86</v>
      </c>
      <c r="F23" s="265"/>
      <c r="G23" s="32">
        <v>1150000</v>
      </c>
      <c r="H23" s="46">
        <f>G23/F55</f>
        <v>409.8828091585641</v>
      </c>
      <c r="I23" s="96">
        <f>H23/H54</f>
        <v>0.24109803171759914</v>
      </c>
      <c r="J23" s="266" t="s">
        <v>90</v>
      </c>
      <c r="K23" s="267"/>
      <c r="L23" s="49">
        <f>J24+L24+M24</f>
        <v>1053247.29</v>
      </c>
      <c r="M23" s="102">
        <f>G23-L23</f>
        <v>96752.709999999963</v>
      </c>
      <c r="N23" s="40"/>
      <c r="O23" s="40"/>
    </row>
    <row r="24" spans="1:16" s="13" customFormat="1" ht="17.5" customHeight="1" thickBot="1" x14ac:dyDescent="0.4">
      <c r="A24" s="149"/>
      <c r="B24" s="150"/>
      <c r="C24" s="151"/>
      <c r="D24" s="151"/>
      <c r="E24" s="104"/>
      <c r="F24" s="104"/>
      <c r="G24" s="152"/>
      <c r="H24" s="153"/>
      <c r="I24" s="154"/>
      <c r="J24" s="280">
        <v>938247.29</v>
      </c>
      <c r="K24" s="281"/>
      <c r="L24" s="155">
        <v>40000</v>
      </c>
      <c r="M24" s="156">
        <v>75000</v>
      </c>
      <c r="N24" s="40"/>
      <c r="O24" s="40"/>
    </row>
    <row r="25" spans="1:16" s="13" customFormat="1" ht="19.5" customHeight="1" x14ac:dyDescent="0.35">
      <c r="A25" s="47" t="s">
        <v>24</v>
      </c>
      <c r="B25" s="240" t="s">
        <v>25</v>
      </c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2"/>
      <c r="N25" s="40"/>
    </row>
    <row r="26" spans="1:16" s="13" customFormat="1" ht="30.5" customHeight="1" thickBot="1" x14ac:dyDescent="0.4">
      <c r="A26" s="48" t="s">
        <v>26</v>
      </c>
      <c r="B26" s="263" t="s">
        <v>27</v>
      </c>
      <c r="C26" s="263"/>
      <c r="D26" s="263"/>
      <c r="E26" s="268" t="s">
        <v>101</v>
      </c>
      <c r="F26" s="269"/>
      <c r="G26" s="32">
        <v>125000</v>
      </c>
      <c r="H26" s="46">
        <f>G26/F55</f>
        <v>44.552479256365658</v>
      </c>
      <c r="I26" s="96">
        <f>H26/H54</f>
        <v>2.6206307795391206E-2</v>
      </c>
      <c r="J26" s="266"/>
      <c r="K26" s="267"/>
      <c r="L26" s="49">
        <v>91950</v>
      </c>
      <c r="M26" s="103">
        <f>G26-L26</f>
        <v>33050</v>
      </c>
      <c r="P26" s="115"/>
    </row>
    <row r="27" spans="1:16" s="13" customFormat="1" ht="21.75" customHeight="1" x14ac:dyDescent="0.35">
      <c r="A27" s="47" t="s">
        <v>28</v>
      </c>
      <c r="B27" s="240" t="s">
        <v>29</v>
      </c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2"/>
      <c r="N27" s="40"/>
      <c r="O27" s="117"/>
    </row>
    <row r="28" spans="1:16" s="13" customFormat="1" x14ac:dyDescent="0.35">
      <c r="A28" s="226" t="s">
        <v>30</v>
      </c>
      <c r="B28" s="262" t="s">
        <v>31</v>
      </c>
      <c r="C28" s="262"/>
      <c r="D28" s="262"/>
      <c r="E28" s="50" t="s">
        <v>32</v>
      </c>
      <c r="F28" s="50" t="s">
        <v>33</v>
      </c>
      <c r="G28" s="23"/>
      <c r="H28" s="20"/>
      <c r="I28" s="36"/>
      <c r="J28" s="224"/>
      <c r="K28" s="225"/>
      <c r="L28" s="23"/>
      <c r="M28" s="51"/>
    </row>
    <row r="29" spans="1:16" s="13" customFormat="1" ht="14" x14ac:dyDescent="0.35">
      <c r="A29" s="226"/>
      <c r="B29" s="262"/>
      <c r="C29" s="262"/>
      <c r="D29" s="262"/>
      <c r="E29" s="100">
        <v>40000</v>
      </c>
      <c r="F29" s="166">
        <v>12</v>
      </c>
      <c r="G29" s="172">
        <f t="shared" ref="G29:G33" si="0">E29*F29</f>
        <v>480000</v>
      </c>
      <c r="H29" s="20"/>
      <c r="I29" s="36"/>
      <c r="J29" s="224"/>
      <c r="K29" s="225"/>
      <c r="L29" s="23"/>
      <c r="M29" s="51"/>
    </row>
    <row r="30" spans="1:16" s="13" customFormat="1" ht="20" customHeight="1" x14ac:dyDescent="0.35">
      <c r="A30" s="169" t="s">
        <v>34</v>
      </c>
      <c r="B30" s="262" t="s">
        <v>35</v>
      </c>
      <c r="C30" s="262"/>
      <c r="D30" s="262"/>
      <c r="E30" s="100">
        <v>33000</v>
      </c>
      <c r="F30" s="166">
        <v>12</v>
      </c>
      <c r="G30" s="172">
        <f t="shared" si="0"/>
        <v>396000</v>
      </c>
      <c r="H30" s="20"/>
      <c r="I30" s="36"/>
      <c r="J30" s="224"/>
      <c r="K30" s="225"/>
      <c r="L30" s="23"/>
      <c r="M30" s="51"/>
    </row>
    <row r="31" spans="1:16" s="13" customFormat="1" ht="14" x14ac:dyDescent="0.35">
      <c r="A31" s="122" t="s">
        <v>36</v>
      </c>
      <c r="B31" s="262" t="s">
        <v>37</v>
      </c>
      <c r="C31" s="262"/>
      <c r="D31" s="262"/>
      <c r="E31" s="100">
        <v>16500</v>
      </c>
      <c r="F31" s="166">
        <v>12</v>
      </c>
      <c r="G31" s="172">
        <f t="shared" si="0"/>
        <v>198000</v>
      </c>
      <c r="H31" s="20"/>
      <c r="I31" s="36"/>
      <c r="J31" s="224"/>
      <c r="K31" s="225"/>
      <c r="L31" s="23"/>
      <c r="M31" s="51"/>
    </row>
    <row r="32" spans="1:16" s="13" customFormat="1" ht="19" customHeight="1" x14ac:dyDescent="0.35">
      <c r="A32" s="122" t="s">
        <v>38</v>
      </c>
      <c r="B32" s="262" t="s">
        <v>39</v>
      </c>
      <c r="C32" s="262"/>
      <c r="D32" s="262"/>
      <c r="E32" s="100">
        <v>16500</v>
      </c>
      <c r="F32" s="166">
        <v>6</v>
      </c>
      <c r="G32" s="172">
        <f t="shared" si="0"/>
        <v>99000</v>
      </c>
      <c r="H32" s="20"/>
      <c r="I32" s="36"/>
      <c r="J32" s="224"/>
      <c r="K32" s="225"/>
      <c r="L32" s="23"/>
      <c r="M32" s="51"/>
    </row>
    <row r="33" spans="1:14" s="13" customFormat="1" ht="14" customHeight="1" x14ac:dyDescent="0.35">
      <c r="A33" s="122" t="s">
        <v>40</v>
      </c>
      <c r="B33" s="262" t="s">
        <v>41</v>
      </c>
      <c r="C33" s="262"/>
      <c r="D33" s="262"/>
      <c r="E33" s="100">
        <v>18000</v>
      </c>
      <c r="F33" s="166">
        <v>12</v>
      </c>
      <c r="G33" s="172">
        <f t="shared" si="0"/>
        <v>216000</v>
      </c>
      <c r="H33" s="20"/>
      <c r="I33" s="36"/>
      <c r="J33" s="167"/>
      <c r="K33" s="168"/>
      <c r="L33" s="23"/>
      <c r="M33" s="51"/>
    </row>
    <row r="34" spans="1:14" s="13" customFormat="1" ht="14" x14ac:dyDescent="0.35">
      <c r="A34" s="247" t="s">
        <v>42</v>
      </c>
      <c r="B34" s="248"/>
      <c r="C34" s="248"/>
      <c r="D34" s="248"/>
      <c r="E34" s="248"/>
      <c r="F34" s="249"/>
      <c r="G34" s="52">
        <f>SUM(G29:G33)</f>
        <v>1389000</v>
      </c>
      <c r="H34" s="20"/>
      <c r="I34" s="36"/>
      <c r="J34" s="224"/>
      <c r="K34" s="225"/>
      <c r="L34" s="23"/>
      <c r="M34" s="51"/>
    </row>
    <row r="35" spans="1:14" s="13" customFormat="1" ht="15" customHeight="1" x14ac:dyDescent="0.35">
      <c r="A35" s="53" t="s">
        <v>43</v>
      </c>
      <c r="B35" s="250" t="s">
        <v>44</v>
      </c>
      <c r="C35" s="251"/>
      <c r="D35" s="252"/>
      <c r="E35" s="222"/>
      <c r="F35" s="223"/>
      <c r="G35" s="52">
        <f>G34*30.2%</f>
        <v>419478</v>
      </c>
      <c r="H35" s="20"/>
      <c r="I35" s="36"/>
      <c r="J35" s="224"/>
      <c r="K35" s="225"/>
      <c r="L35" s="54"/>
      <c r="M35" s="51"/>
    </row>
    <row r="36" spans="1:14" s="13" customFormat="1" ht="16" thickBot="1" x14ac:dyDescent="0.4">
      <c r="A36" s="55"/>
      <c r="B36" s="253" t="s">
        <v>45</v>
      </c>
      <c r="C36" s="254"/>
      <c r="D36" s="254"/>
      <c r="E36" s="254"/>
      <c r="F36" s="255"/>
      <c r="G36" s="32">
        <f>G34+G35</f>
        <v>1808478</v>
      </c>
      <c r="H36" s="94">
        <f>G36/F55</f>
        <v>644.57742864474926</v>
      </c>
      <c r="I36" s="96">
        <f>H36/H54</f>
        <v>0.37914824887354803</v>
      </c>
      <c r="J36" s="256"/>
      <c r="K36" s="257"/>
      <c r="L36" s="33">
        <v>1808478</v>
      </c>
      <c r="M36" s="103">
        <f>L36-G36</f>
        <v>0</v>
      </c>
    </row>
    <row r="37" spans="1:14" s="13" customFormat="1" ht="23.5" customHeight="1" thickBot="1" x14ac:dyDescent="0.4">
      <c r="A37" s="47" t="s">
        <v>46</v>
      </c>
      <c r="B37" s="260" t="s">
        <v>89</v>
      </c>
      <c r="C37" s="261"/>
      <c r="D37" s="261"/>
      <c r="E37" s="258" t="s">
        <v>97</v>
      </c>
      <c r="F37" s="259"/>
      <c r="G37" s="56">
        <v>77146</v>
      </c>
      <c r="H37" s="95">
        <f>G37/F55</f>
        <v>27.496364517692683</v>
      </c>
      <c r="I37" s="65">
        <f>H37/H54</f>
        <v>1.6173694569466001E-2</v>
      </c>
      <c r="J37" s="238"/>
      <c r="K37" s="239"/>
      <c r="L37" s="159">
        <v>77145</v>
      </c>
      <c r="M37" s="66">
        <f>G37-L37</f>
        <v>1</v>
      </c>
    </row>
    <row r="38" spans="1:14" s="13" customFormat="1" ht="15" customHeight="1" x14ac:dyDescent="0.35">
      <c r="A38" s="47" t="s">
        <v>47</v>
      </c>
      <c r="B38" s="240" t="s">
        <v>96</v>
      </c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2"/>
    </row>
    <row r="39" spans="1:14" s="13" customFormat="1" ht="24" customHeight="1" x14ac:dyDescent="0.35">
      <c r="A39" s="169" t="s">
        <v>48</v>
      </c>
      <c r="B39" s="235" t="s">
        <v>80</v>
      </c>
      <c r="C39" s="235"/>
      <c r="D39" s="235"/>
      <c r="E39" s="243" t="s">
        <v>87</v>
      </c>
      <c r="F39" s="244"/>
      <c r="G39" s="92">
        <v>80000</v>
      </c>
      <c r="H39" s="93">
        <f>G39/F55</f>
        <v>28.513586724074024</v>
      </c>
      <c r="I39" s="57">
        <f>H39/H54</f>
        <v>1.6772036989050373E-2</v>
      </c>
      <c r="J39" s="245">
        <f>538586+11953.5+14942.2+7471.1</f>
        <v>572952.79999999993</v>
      </c>
      <c r="K39" s="246"/>
      <c r="L39" s="118">
        <f>J39-468000</f>
        <v>104952.79999999993</v>
      </c>
      <c r="M39" s="132" t="s">
        <v>102</v>
      </c>
    </row>
    <row r="40" spans="1:14" s="13" customFormat="1" ht="28.5" customHeight="1" x14ac:dyDescent="0.35">
      <c r="A40" s="169" t="s">
        <v>49</v>
      </c>
      <c r="B40" s="232" t="s">
        <v>50</v>
      </c>
      <c r="C40" s="233"/>
      <c r="D40" s="234"/>
      <c r="E40" s="60"/>
      <c r="F40" s="61"/>
      <c r="G40" s="92">
        <v>28000</v>
      </c>
      <c r="H40" s="93">
        <f>G40/F55</f>
        <v>9.979755353425908</v>
      </c>
      <c r="I40" s="57">
        <f>H40/H54</f>
        <v>5.8702129461676309E-3</v>
      </c>
      <c r="J40" s="136"/>
      <c r="K40" s="137"/>
      <c r="L40" s="160">
        <v>18421</v>
      </c>
      <c r="M40" s="59"/>
    </row>
    <row r="41" spans="1:14" s="13" customFormat="1" ht="37.5" customHeight="1" x14ac:dyDescent="0.35">
      <c r="A41" s="169" t="s">
        <v>51</v>
      </c>
      <c r="B41" s="232" t="s">
        <v>79</v>
      </c>
      <c r="C41" s="233"/>
      <c r="D41" s="234"/>
      <c r="E41" s="60" t="s">
        <v>103</v>
      </c>
      <c r="F41" s="61"/>
      <c r="G41" s="92">
        <v>40000</v>
      </c>
      <c r="H41" s="93">
        <f>G41/F55</f>
        <v>14.256793362037012</v>
      </c>
      <c r="I41" s="62">
        <f>H41/H54</f>
        <v>8.3860184945251867E-3</v>
      </c>
      <c r="J41" s="136"/>
      <c r="K41" s="137"/>
      <c r="L41" s="58">
        <f>10261.45+28392+13448.5+4693.68</f>
        <v>56795.63</v>
      </c>
      <c r="M41" s="59"/>
    </row>
    <row r="42" spans="1:14" s="13" customFormat="1" ht="23" customHeight="1" x14ac:dyDescent="0.35">
      <c r="A42" s="169" t="s">
        <v>52</v>
      </c>
      <c r="B42" s="232" t="s">
        <v>95</v>
      </c>
      <c r="C42" s="233"/>
      <c r="D42" s="234"/>
      <c r="E42" s="60"/>
      <c r="F42" s="61"/>
      <c r="G42" s="92">
        <v>40000</v>
      </c>
      <c r="H42" s="93">
        <f>G42/F55</f>
        <v>14.256793362037012</v>
      </c>
      <c r="I42" s="62">
        <f>H42/H54</f>
        <v>8.3860184945251867E-3</v>
      </c>
      <c r="J42" s="136"/>
      <c r="K42" s="137"/>
      <c r="L42" s="108">
        <f>26900+2646.56</f>
        <v>29546.560000000001</v>
      </c>
      <c r="M42" s="59"/>
    </row>
    <row r="43" spans="1:14" s="13" customFormat="1" ht="24.5" customHeight="1" x14ac:dyDescent="0.35">
      <c r="A43" s="169" t="s">
        <v>53</v>
      </c>
      <c r="B43" s="232" t="s">
        <v>54</v>
      </c>
      <c r="C43" s="233"/>
      <c r="D43" s="234"/>
      <c r="E43" s="60"/>
      <c r="F43" s="61"/>
      <c r="G43" s="92">
        <v>15000</v>
      </c>
      <c r="H43" s="93">
        <f>G43/F55</f>
        <v>5.346297510763879</v>
      </c>
      <c r="I43" s="62">
        <f>H43/H54</f>
        <v>3.144756935446945E-3</v>
      </c>
      <c r="J43" s="136"/>
      <c r="K43" s="137"/>
      <c r="L43" s="58">
        <f>9100+1350</f>
        <v>10450</v>
      </c>
      <c r="M43" s="59"/>
    </row>
    <row r="44" spans="1:14" s="13" customFormat="1" ht="26" customHeight="1" x14ac:dyDescent="0.35">
      <c r="A44" s="169" t="s">
        <v>55</v>
      </c>
      <c r="B44" s="232" t="s">
        <v>56</v>
      </c>
      <c r="C44" s="233"/>
      <c r="D44" s="234"/>
      <c r="E44" s="60" t="s">
        <v>104</v>
      </c>
      <c r="F44" s="61" t="s">
        <v>105</v>
      </c>
      <c r="G44" s="92">
        <v>90000</v>
      </c>
      <c r="H44" s="173">
        <f>G44/F55</f>
        <v>32.077785064583274</v>
      </c>
      <c r="I44" s="174">
        <f>H44/H54</f>
        <v>1.8868541612681668E-2</v>
      </c>
      <c r="J44" s="136"/>
      <c r="K44" s="137"/>
      <c r="L44" s="58">
        <f>75000+14942.2+7471.1</f>
        <v>97413.3</v>
      </c>
      <c r="M44" s="59"/>
      <c r="N44" s="112"/>
    </row>
    <row r="45" spans="1:14" s="13" customFormat="1" ht="14" x14ac:dyDescent="0.35">
      <c r="A45" s="169" t="s">
        <v>57</v>
      </c>
      <c r="B45" s="235" t="s">
        <v>58</v>
      </c>
      <c r="C45" s="235"/>
      <c r="D45" s="235"/>
      <c r="E45" s="222"/>
      <c r="F45" s="223"/>
      <c r="G45" s="172">
        <v>30000</v>
      </c>
      <c r="H45" s="173">
        <f>G45/F55</f>
        <v>10.692595021527758</v>
      </c>
      <c r="I45" s="174">
        <f>H45/H54</f>
        <v>6.28951387089389E-3</v>
      </c>
      <c r="J45" s="224"/>
      <c r="K45" s="225"/>
      <c r="L45" s="164">
        <v>17551.7</v>
      </c>
      <c r="M45" s="39"/>
    </row>
    <row r="46" spans="1:14" s="13" customFormat="1" ht="14.5" x14ac:dyDescent="0.35">
      <c r="A46" s="169" t="s">
        <v>73</v>
      </c>
      <c r="B46" s="232" t="s">
        <v>59</v>
      </c>
      <c r="C46" s="236"/>
      <c r="D46" s="237"/>
      <c r="E46" s="170"/>
      <c r="F46" s="171"/>
      <c r="G46" s="172">
        <v>35000</v>
      </c>
      <c r="H46" s="173">
        <f>G46/F55</f>
        <v>12.474694191782385</v>
      </c>
      <c r="I46" s="174">
        <f>H46/H54</f>
        <v>7.3377661827095384E-3</v>
      </c>
      <c r="J46" s="82"/>
      <c r="K46" s="83"/>
      <c r="L46" s="175">
        <v>23918</v>
      </c>
      <c r="M46" s="165"/>
    </row>
    <row r="47" spans="1:14" s="13" customFormat="1" x14ac:dyDescent="0.35">
      <c r="A47" s="226" t="s">
        <v>74</v>
      </c>
      <c r="B47" s="185" t="s">
        <v>76</v>
      </c>
      <c r="C47" s="186"/>
      <c r="D47" s="187"/>
      <c r="E47" s="227"/>
      <c r="F47" s="228"/>
      <c r="G47" s="229">
        <v>40000</v>
      </c>
      <c r="H47" s="230">
        <f>G47/F55</f>
        <v>14.256793362037012</v>
      </c>
      <c r="I47" s="231">
        <f>H47/H54</f>
        <v>8.3860184945251867E-3</v>
      </c>
      <c r="J47" s="191"/>
      <c r="K47" s="192"/>
      <c r="L47" s="195">
        <v>34450.5</v>
      </c>
      <c r="M47" s="197"/>
    </row>
    <row r="48" spans="1:14" s="13" customFormat="1" ht="6" customHeight="1" x14ac:dyDescent="0.35">
      <c r="A48" s="226"/>
      <c r="B48" s="188"/>
      <c r="C48" s="189"/>
      <c r="D48" s="190"/>
      <c r="E48" s="205"/>
      <c r="F48" s="206"/>
      <c r="G48" s="229"/>
      <c r="H48" s="230"/>
      <c r="I48" s="231"/>
      <c r="J48" s="193"/>
      <c r="K48" s="194"/>
      <c r="L48" s="196"/>
      <c r="M48" s="198"/>
    </row>
    <row r="49" spans="1:14" s="13" customFormat="1" ht="20" customHeight="1" x14ac:dyDescent="0.35">
      <c r="A49" s="169" t="s">
        <v>82</v>
      </c>
      <c r="B49" s="213" t="s">
        <v>84</v>
      </c>
      <c r="C49" s="214"/>
      <c r="D49" s="215"/>
      <c r="E49" s="212" t="s">
        <v>88</v>
      </c>
      <c r="F49" s="196"/>
      <c r="G49" s="92">
        <f>9685*12</f>
        <v>116220</v>
      </c>
      <c r="H49" s="93">
        <f>G49/F55</f>
        <v>41.423113113398536</v>
      </c>
      <c r="I49" s="57">
        <f>H49/H54</f>
        <v>2.4365576735842928E-2</v>
      </c>
      <c r="J49" s="210"/>
      <c r="K49" s="211"/>
      <c r="L49" s="158">
        <v>116220</v>
      </c>
      <c r="M49" s="123"/>
    </row>
    <row r="50" spans="1:14" s="13" customFormat="1" ht="19" customHeight="1" x14ac:dyDescent="0.35">
      <c r="A50" s="169" t="s">
        <v>83</v>
      </c>
      <c r="B50" s="209" t="s">
        <v>77</v>
      </c>
      <c r="C50" s="209"/>
      <c r="D50" s="209"/>
      <c r="E50" s="104"/>
      <c r="F50" s="105"/>
      <c r="G50" s="92">
        <v>15000</v>
      </c>
      <c r="H50" s="93">
        <f>G50/F55</f>
        <v>5.346297510763879</v>
      </c>
      <c r="I50" s="57">
        <f>H50/H54</f>
        <v>3.144756935446945E-3</v>
      </c>
      <c r="J50" s="106"/>
      <c r="K50" s="107"/>
      <c r="L50" s="162">
        <f>11002.19+2619+11022</f>
        <v>24643.190000000002</v>
      </c>
      <c r="M50" s="119"/>
      <c r="N50" s="112"/>
    </row>
    <row r="51" spans="1:14" s="13" customFormat="1" ht="16" thickBot="1" x14ac:dyDescent="0.4">
      <c r="A51" s="199" t="s">
        <v>98</v>
      </c>
      <c r="B51" s="200"/>
      <c r="C51" s="200"/>
      <c r="D51" s="200"/>
      <c r="E51" s="200"/>
      <c r="F51" s="201"/>
      <c r="G51" s="32">
        <f>G39+G45+G47+G40+G41+G42+G43+G44+G46+G50+G49</f>
        <v>529220</v>
      </c>
      <c r="H51" s="63"/>
      <c r="I51" s="64"/>
      <c r="J51" s="202">
        <f>G51/G54</f>
        <v>0.1109512176918155</v>
      </c>
      <c r="K51" s="203"/>
      <c r="L51" s="32">
        <f>L39+L45+L47+L40+L41+L42+L43+L44+L46+L50+L49</f>
        <v>534362.67999999993</v>
      </c>
      <c r="M51" s="163">
        <f>G51-L51</f>
        <v>-5142.6799999999348</v>
      </c>
    </row>
    <row r="52" spans="1:14" s="13" customFormat="1" ht="16" thickBot="1" x14ac:dyDescent="0.4">
      <c r="A52" s="143" t="s">
        <v>60</v>
      </c>
      <c r="B52" s="216" t="s">
        <v>92</v>
      </c>
      <c r="C52" s="217"/>
      <c r="D52" s="217"/>
      <c r="E52" s="218" t="s">
        <v>100</v>
      </c>
      <c r="F52" s="219"/>
      <c r="G52" s="126">
        <v>100000</v>
      </c>
      <c r="H52" s="130">
        <f>G52/F55</f>
        <v>35.641983405092532</v>
      </c>
      <c r="I52" s="131">
        <f>H52/H54</f>
        <v>2.096504623631297E-2</v>
      </c>
      <c r="J52" s="220" t="s">
        <v>112</v>
      </c>
      <c r="K52" s="221"/>
      <c r="L52" s="127">
        <f>34566.67+11960+13447.2+16228+17980+1854</f>
        <v>96035.87</v>
      </c>
      <c r="M52" s="128">
        <f>G52-L52</f>
        <v>3964.1300000000047</v>
      </c>
    </row>
    <row r="53" spans="1:14" s="13" customFormat="1" ht="16" thickBot="1" x14ac:dyDescent="0.4">
      <c r="A53" s="47" t="s">
        <v>91</v>
      </c>
      <c r="B53" s="204" t="s">
        <v>61</v>
      </c>
      <c r="C53" s="204"/>
      <c r="D53" s="204"/>
      <c r="E53" s="205"/>
      <c r="F53" s="206"/>
      <c r="G53" s="129">
        <v>100000</v>
      </c>
      <c r="H53" s="99">
        <f>G53/F55</f>
        <v>35.641983405092532</v>
      </c>
      <c r="I53" s="65">
        <f>H53/H54</f>
        <v>2.096504623631297E-2</v>
      </c>
      <c r="J53" s="207"/>
      <c r="K53" s="208"/>
      <c r="L53" s="110">
        <f>29927+89700</f>
        <v>119627</v>
      </c>
      <c r="M53" s="161">
        <f>G53-L53</f>
        <v>-19627</v>
      </c>
    </row>
    <row r="54" spans="1:14" s="13" customFormat="1" ht="18.5" thickBot="1" x14ac:dyDescent="0.4">
      <c r="A54" s="179" t="s">
        <v>62</v>
      </c>
      <c r="B54" s="180"/>
      <c r="C54" s="180"/>
      <c r="D54" s="180"/>
      <c r="E54" s="180"/>
      <c r="F54" s="181"/>
      <c r="G54" s="67">
        <f>G7+G13+G53+G51+G37+G36+G26+G23+G21+G52</f>
        <v>4769844</v>
      </c>
      <c r="H54" s="68">
        <f>SUM(H7:H53)</f>
        <v>1700.0670069288019</v>
      </c>
      <c r="I54" s="69">
        <f>SUM(I7:I53)</f>
        <v>1</v>
      </c>
      <c r="J54" s="182"/>
      <c r="K54" s="183"/>
      <c r="L54" s="157">
        <f>L7+L13+L53+L51+L37+L36+L26+L23+L21+L52</f>
        <v>4661387.3499999996</v>
      </c>
      <c r="M54" s="70">
        <f>G54-L54</f>
        <v>108456.65000000037</v>
      </c>
    </row>
    <row r="55" spans="1:14" ht="13" x14ac:dyDescent="0.3">
      <c r="D55" s="5" t="s">
        <v>63</v>
      </c>
      <c r="F55" s="146">
        <v>2805.68</v>
      </c>
      <c r="G55" s="145" t="s">
        <v>106</v>
      </c>
      <c r="K55" s="74"/>
      <c r="L55" s="75"/>
      <c r="M55" s="76"/>
    </row>
    <row r="56" spans="1:14" ht="15.5" x14ac:dyDescent="0.35">
      <c r="E56" s="184" t="s">
        <v>64</v>
      </c>
      <c r="F56" s="184"/>
      <c r="G56" s="77">
        <f>ROUND(G54/F55,0)</f>
        <v>1700</v>
      </c>
      <c r="H56" s="78" t="s">
        <v>65</v>
      </c>
      <c r="L56" s="75"/>
      <c r="M56" s="76">
        <f>M7+M13+M21+M23+M26+M37+M51+M52+M53</f>
        <v>108456.65000000005</v>
      </c>
    </row>
    <row r="57" spans="1:14" ht="15.5" x14ac:dyDescent="0.35">
      <c r="G57" s="77"/>
      <c r="K57" s="79"/>
      <c r="L57" s="80"/>
      <c r="M57" s="80"/>
    </row>
    <row r="58" spans="1:14" ht="14" x14ac:dyDescent="0.3">
      <c r="B58" s="81"/>
    </row>
    <row r="123" spans="6:6" ht="14.5" x14ac:dyDescent="0.35">
      <c r="F123" s="144"/>
    </row>
  </sheetData>
  <mergeCells count="115">
    <mergeCell ref="A1:D1"/>
    <mergeCell ref="A3:M3"/>
    <mergeCell ref="B5:D5"/>
    <mergeCell ref="E5:F5"/>
    <mergeCell ref="J5:K5"/>
    <mergeCell ref="B6:M6"/>
    <mergeCell ref="B9:M9"/>
    <mergeCell ref="B10:D10"/>
    <mergeCell ref="E10:F10"/>
    <mergeCell ref="J10:K10"/>
    <mergeCell ref="B11:D11"/>
    <mergeCell ref="E11:F11"/>
    <mergeCell ref="J11:K11"/>
    <mergeCell ref="B7:D7"/>
    <mergeCell ref="E7:F7"/>
    <mergeCell ref="J7:K7"/>
    <mergeCell ref="B8:D8"/>
    <mergeCell ref="E8:F8"/>
    <mergeCell ref="J8:K8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L18:L19"/>
    <mergeCell ref="M18:M19"/>
    <mergeCell ref="B20:D20"/>
    <mergeCell ref="E20:F20"/>
    <mergeCell ref="A21:F21"/>
    <mergeCell ref="J21:K21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A28:A29"/>
    <mergeCell ref="B28:D29"/>
    <mergeCell ref="J28:K28"/>
    <mergeCell ref="J29:K29"/>
    <mergeCell ref="B22:M22"/>
    <mergeCell ref="B23:D23"/>
    <mergeCell ref="E23:F23"/>
    <mergeCell ref="J23:K23"/>
    <mergeCell ref="J24:K24"/>
    <mergeCell ref="B25:M25"/>
    <mergeCell ref="B30:D30"/>
    <mergeCell ref="J30:K30"/>
    <mergeCell ref="B31:D31"/>
    <mergeCell ref="J31:K31"/>
    <mergeCell ref="B32:D32"/>
    <mergeCell ref="J32:K32"/>
    <mergeCell ref="B26:D26"/>
    <mergeCell ref="E26:F26"/>
    <mergeCell ref="J26:K26"/>
    <mergeCell ref="B27:M27"/>
    <mergeCell ref="B36:F36"/>
    <mergeCell ref="J36:K36"/>
    <mergeCell ref="B37:D37"/>
    <mergeCell ref="E37:F37"/>
    <mergeCell ref="J37:K37"/>
    <mergeCell ref="B38:M38"/>
    <mergeCell ref="B33:D33"/>
    <mergeCell ref="A34:F34"/>
    <mergeCell ref="J34:K34"/>
    <mergeCell ref="B35:D35"/>
    <mergeCell ref="E35:F35"/>
    <mergeCell ref="J35:K35"/>
    <mergeCell ref="B43:D43"/>
    <mergeCell ref="B44:D44"/>
    <mergeCell ref="B45:D45"/>
    <mergeCell ref="E45:F45"/>
    <mergeCell ref="J45:K45"/>
    <mergeCell ref="B46:D46"/>
    <mergeCell ref="B39:D39"/>
    <mergeCell ref="E39:F39"/>
    <mergeCell ref="J39:K39"/>
    <mergeCell ref="B40:D40"/>
    <mergeCell ref="B41:D41"/>
    <mergeCell ref="B42:D42"/>
    <mergeCell ref="J47:K48"/>
    <mergeCell ref="L47:L48"/>
    <mergeCell ref="M47:M48"/>
    <mergeCell ref="B49:D49"/>
    <mergeCell ref="E49:F49"/>
    <mergeCell ref="J49:K49"/>
    <mergeCell ref="A47:A48"/>
    <mergeCell ref="B47:D48"/>
    <mergeCell ref="E47:F48"/>
    <mergeCell ref="G47:G48"/>
    <mergeCell ref="H47:H48"/>
    <mergeCell ref="I47:I48"/>
    <mergeCell ref="B53:D53"/>
    <mergeCell ref="E53:F53"/>
    <mergeCell ref="J53:K53"/>
    <mergeCell ref="A54:F54"/>
    <mergeCell ref="J54:K54"/>
    <mergeCell ref="E56:F56"/>
    <mergeCell ref="B50:D50"/>
    <mergeCell ref="A51:F51"/>
    <mergeCell ref="J51:K51"/>
    <mergeCell ref="B52:D52"/>
    <mergeCell ref="E52:F52"/>
    <mergeCell ref="J52:K52"/>
  </mergeCells>
  <pageMargins left="0.19685039370078741" right="0" top="0.19685039370078741" bottom="0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Аркуш1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2026-05-26T07:25:28Z</dcterms:modified>
</cp:coreProperties>
</file>